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FTA2G11\Desktop\CONVENIO N° 4500079065 TRAUMA\"/>
    </mc:Choice>
  </mc:AlternateContent>
  <xr:revisionPtr revIDLastSave="0" documentId="13_ncr:1_{D8295BC9-23F8-417F-A5AC-296FD57C1469}" xr6:coauthVersionLast="47" xr6:coauthVersionMax="47" xr10:uidLastSave="{00000000-0000-0000-0000-000000000000}"/>
  <bookViews>
    <workbookView xWindow="-120" yWindow="-120" windowWidth="38640" windowHeight="21120" xr2:uid="{00000000-000D-0000-FFFF-FFFF00000000}"/>
  </bookViews>
  <sheets>
    <sheet name="TECHO EX URGEN." sheetId="3" r:id="rId1"/>
    <sheet name="Ex Urgencia" sheetId="13" r:id="rId2"/>
    <sheet name="sexto piso" sheetId="14" r:id="rId3"/>
    <sheet name="tRAUMATOLOGÍA" sheetId="16" r:id="rId4"/>
    <sheet name="aLBERGUE" sheetId="17" r:id="rId5"/>
    <sheet name="Edificio J.A.Flores" sheetId="18" r:id="rId6"/>
    <sheet name="Aislación Terraza" sheetId="15" r:id="rId7"/>
    <sheet name="aislaciónTerraza B" sheetId="12" r:id="rId8"/>
    <sheet name="DEPOSITO Gral" sheetId="10" r:id="rId9"/>
    <sheet name="RESUMEN" sheetId="11" r:id="rId10"/>
  </sheets>
  <definedNames>
    <definedName name="_xlnm.Print_Area" localSheetId="8">'DEPOSITO Gral'!$A$2:$H$76</definedName>
    <definedName name="_xlnm.Print_Area" localSheetId="9">RESUMEN!$A$1:$F$22</definedName>
    <definedName name="_xlnm.Print_Area" localSheetId="0">'TECHO EX URGEN.'!$A$1:$H$36</definedName>
    <definedName name="_xlnm.Print_Titles" localSheetId="8">'DEPOSITO Gral'!$2:$10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6" l="1"/>
  <c r="F24" i="16"/>
  <c r="F26" i="16"/>
  <c r="D22" i="16"/>
  <c r="D17" i="16"/>
  <c r="F17" i="16" s="1"/>
  <c r="D9" i="16"/>
  <c r="D10" i="16" s="1"/>
  <c r="F37" i="17"/>
  <c r="F36" i="17"/>
  <c r="F35" i="17"/>
  <c r="F33" i="17"/>
  <c r="D17" i="17"/>
  <c r="F17" i="17" s="1"/>
  <c r="D8" i="17"/>
  <c r="F8" i="17" s="1"/>
  <c r="F41" i="17"/>
  <c r="F40" i="17"/>
  <c r="F39" i="17"/>
  <c r="F34" i="17"/>
  <c r="F32" i="17"/>
  <c r="F31" i="17"/>
  <c r="F30" i="17"/>
  <c r="F29" i="17"/>
  <c r="F27" i="17"/>
  <c r="F26" i="17"/>
  <c r="F25" i="17"/>
  <c r="F28" i="17"/>
  <c r="F23" i="17"/>
  <c r="F22" i="17"/>
  <c r="F21" i="17"/>
  <c r="F20" i="17"/>
  <c r="F18" i="17"/>
  <c r="F16" i="17"/>
  <c r="F15" i="17"/>
  <c r="F13" i="17"/>
  <c r="F12" i="17"/>
  <c r="F11" i="17"/>
  <c r="F10" i="17"/>
  <c r="F9" i="17"/>
  <c r="D365" i="18"/>
  <c r="F365" i="18" s="1"/>
  <c r="D364" i="18"/>
  <c r="F364" i="18" s="1"/>
  <c r="D363" i="18"/>
  <c r="F363" i="18" s="1"/>
  <c r="D362" i="18"/>
  <c r="F362" i="18" s="1"/>
  <c r="D361" i="18"/>
  <c r="F361" i="18" s="1"/>
  <c r="D360" i="18"/>
  <c r="F360" i="18" s="1"/>
  <c r="D359" i="18"/>
  <c r="F359" i="18" s="1"/>
  <c r="D358" i="18"/>
  <c r="F358" i="18" s="1"/>
  <c r="D357" i="18"/>
  <c r="F357" i="18" s="1"/>
  <c r="D356" i="18"/>
  <c r="F356" i="18" s="1"/>
  <c r="F354" i="18"/>
  <c r="F353" i="18"/>
  <c r="F351" i="18"/>
  <c r="F350" i="18"/>
  <c r="F349" i="18"/>
  <c r="F348" i="18"/>
  <c r="F347" i="18"/>
  <c r="F346" i="18"/>
  <c r="F345" i="18"/>
  <c r="F344" i="18"/>
  <c r="F343" i="18"/>
  <c r="F342" i="18"/>
  <c r="F340" i="18"/>
  <c r="F339" i="18"/>
  <c r="F338" i="18"/>
  <c r="F337" i="18"/>
  <c r="F335" i="18"/>
  <c r="F334" i="18"/>
  <c r="F333" i="18"/>
  <c r="F331" i="18"/>
  <c r="F330" i="18"/>
  <c r="F329" i="18"/>
  <c r="F328" i="18"/>
  <c r="F327" i="18"/>
  <c r="F324" i="18"/>
  <c r="F323" i="18"/>
  <c r="F322" i="18"/>
  <c r="F321" i="18"/>
  <c r="D320" i="18"/>
  <c r="F320" i="18" s="1"/>
  <c r="F319" i="18"/>
  <c r="F318" i="18"/>
  <c r="F317" i="18"/>
  <c r="F316" i="18"/>
  <c r="F314" i="18"/>
  <c r="F313" i="18"/>
  <c r="F312" i="18"/>
  <c r="F310" i="18"/>
  <c r="D309" i="18"/>
  <c r="F309" i="18" s="1"/>
  <c r="D308" i="18"/>
  <c r="F308" i="18" s="1"/>
  <c r="F307" i="18"/>
  <c r="F306" i="18"/>
  <c r="F305" i="18"/>
  <c r="F304" i="18"/>
  <c r="F303" i="18"/>
  <c r="F302" i="18"/>
  <c r="F301" i="18"/>
  <c r="F300" i="18"/>
  <c r="F298" i="18"/>
  <c r="F297" i="18"/>
  <c r="F296" i="18"/>
  <c r="F295" i="18"/>
  <c r="F294" i="18"/>
  <c r="F293" i="18"/>
  <c r="D292" i="18"/>
  <c r="F292" i="18" s="1"/>
  <c r="F291" i="18"/>
  <c r="F290" i="18"/>
  <c r="F289" i="18"/>
  <c r="F288" i="18"/>
  <c r="F287" i="18"/>
  <c r="F286" i="18"/>
  <c r="F285" i="18"/>
  <c r="F284" i="18"/>
  <c r="F282" i="18"/>
  <c r="F281" i="18"/>
  <c r="F280" i="18"/>
  <c r="F279" i="18"/>
  <c r="F278" i="18"/>
  <c r="D277" i="18"/>
  <c r="F277" i="18" s="1"/>
  <c r="D276" i="18"/>
  <c r="F276" i="18" s="1"/>
  <c r="F275" i="18"/>
  <c r="F274" i="18"/>
  <c r="F273" i="18"/>
  <c r="F272" i="18"/>
  <c r="F271" i="18"/>
  <c r="F270" i="18"/>
  <c r="F269" i="18"/>
  <c r="F268" i="18"/>
  <c r="D266" i="18"/>
  <c r="F266" i="18" s="1"/>
  <c r="F265" i="18"/>
  <c r="F264" i="18"/>
  <c r="F263" i="18"/>
  <c r="F262" i="18"/>
  <c r="F261" i="18"/>
  <c r="F260" i="18"/>
  <c r="F259" i="18"/>
  <c r="F258" i="18"/>
  <c r="F257" i="18"/>
  <c r="F256" i="18"/>
  <c r="F255" i="18"/>
  <c r="F254" i="18"/>
  <c r="F253" i="18"/>
  <c r="F252" i="18"/>
  <c r="F251" i="18"/>
  <c r="F250" i="18"/>
  <c r="F249" i="18"/>
  <c r="F246" i="18"/>
  <c r="F245" i="18"/>
  <c r="F244" i="18"/>
  <c r="F243" i="18"/>
  <c r="F241" i="18"/>
  <c r="F240" i="18"/>
  <c r="F239" i="18"/>
  <c r="F238" i="18"/>
  <c r="F237" i="18"/>
  <c r="F236" i="18"/>
  <c r="F235" i="18"/>
  <c r="F234" i="18"/>
  <c r="F233" i="18"/>
  <c r="F231" i="18"/>
  <c r="F230" i="18"/>
  <c r="F229" i="18"/>
  <c r="F228" i="18"/>
  <c r="F227" i="18"/>
  <c r="F225" i="18"/>
  <c r="F224" i="18"/>
  <c r="F223" i="18"/>
  <c r="F222" i="18"/>
  <c r="F221" i="18"/>
  <c r="F220" i="18"/>
  <c r="F219" i="18"/>
  <c r="F218" i="18"/>
  <c r="F217" i="18"/>
  <c r="F216" i="18"/>
  <c r="F215" i="18"/>
  <c r="F214" i="18"/>
  <c r="F213" i="18"/>
  <c r="F212" i="18"/>
  <c r="F211" i="18"/>
  <c r="F210" i="18"/>
  <c r="F209" i="18"/>
  <c r="F208" i="18"/>
  <c r="F207" i="18"/>
  <c r="F206" i="18"/>
  <c r="F204" i="18"/>
  <c r="F203" i="18"/>
  <c r="F202" i="18"/>
  <c r="F200" i="18"/>
  <c r="F199" i="18"/>
  <c r="F198" i="18"/>
  <c r="F197" i="18"/>
  <c r="F196" i="18"/>
  <c r="F195" i="18"/>
  <c r="F194" i="18"/>
  <c r="F193" i="18"/>
  <c r="F192" i="18"/>
  <c r="F191" i="18"/>
  <c r="F190" i="18"/>
  <c r="F189" i="18"/>
  <c r="F188" i="18"/>
  <c r="F185" i="18"/>
  <c r="F184" i="18"/>
  <c r="F183" i="18"/>
  <c r="F182" i="18"/>
  <c r="F181" i="18"/>
  <c r="F176" i="18"/>
  <c r="F175" i="18"/>
  <c r="F174" i="18"/>
  <c r="F173" i="18"/>
  <c r="F172" i="18"/>
  <c r="F169" i="18"/>
  <c r="F168" i="18"/>
  <c r="F167" i="18"/>
  <c r="F166" i="18"/>
  <c r="F165" i="18"/>
  <c r="F164" i="18"/>
  <c r="F163" i="18"/>
  <c r="F162" i="18"/>
  <c r="F161" i="18"/>
  <c r="F160" i="18"/>
  <c r="F159" i="18"/>
  <c r="F158" i="18"/>
  <c r="F157" i="18"/>
  <c r="F156" i="18"/>
  <c r="F155" i="18"/>
  <c r="F153" i="18"/>
  <c r="F152" i="18"/>
  <c r="F151" i="18"/>
  <c r="F150" i="18"/>
  <c r="F149" i="18"/>
  <c r="D146" i="18"/>
  <c r="F146" i="18" s="1"/>
  <c r="D145" i="18"/>
  <c r="F145" i="18" s="1"/>
  <c r="D144" i="18"/>
  <c r="F144" i="18" s="1"/>
  <c r="F136" i="18"/>
  <c r="F135" i="18"/>
  <c r="D134" i="18"/>
  <c r="F134" i="18" s="1"/>
  <c r="F133" i="18"/>
  <c r="F132" i="18"/>
  <c r="F131" i="18"/>
  <c r="D130" i="18"/>
  <c r="F130" i="18" s="1"/>
  <c r="F129" i="18"/>
  <c r="F128" i="18"/>
  <c r="F127" i="18"/>
  <c r="F126" i="18"/>
  <c r="F125" i="18"/>
  <c r="F124" i="18"/>
  <c r="D123" i="18"/>
  <c r="F123" i="18" s="1"/>
  <c r="D122" i="18"/>
  <c r="F122" i="18" s="1"/>
  <c r="D121" i="18"/>
  <c r="F121" i="18" s="1"/>
  <c r="D120" i="18"/>
  <c r="F120" i="18" s="1"/>
  <c r="D119" i="18"/>
  <c r="F119" i="18" s="1"/>
  <c r="F118" i="18"/>
  <c r="D117" i="18"/>
  <c r="F117" i="18" s="1"/>
  <c r="D116" i="18"/>
  <c r="F116" i="18" s="1"/>
  <c r="D115" i="18"/>
  <c r="F115" i="18" s="1"/>
  <c r="F114" i="18"/>
  <c r="D113" i="18"/>
  <c r="F113" i="18" s="1"/>
  <c r="D112" i="18"/>
  <c r="F112" i="18" s="1"/>
  <c r="D111" i="18"/>
  <c r="F111" i="18" s="1"/>
  <c r="D110" i="18"/>
  <c r="F110" i="18" s="1"/>
  <c r="D109" i="18"/>
  <c r="F109" i="18" s="1"/>
  <c r="F108" i="18"/>
  <c r="F107" i="18"/>
  <c r="F106" i="18"/>
  <c r="F105" i="18"/>
  <c r="F104" i="18"/>
  <c r="F103" i="18"/>
  <c r="F102" i="18"/>
  <c r="D101" i="18"/>
  <c r="F101" i="18" s="1"/>
  <c r="D100" i="18"/>
  <c r="F100" i="18" s="1"/>
  <c r="F99" i="18"/>
  <c r="D97" i="18"/>
  <c r="F97" i="18" s="1"/>
  <c r="D96" i="18"/>
  <c r="F96" i="18" s="1"/>
  <c r="F95" i="18"/>
  <c r="D94" i="18"/>
  <c r="D86" i="18" s="1"/>
  <c r="F86" i="18" s="1"/>
  <c r="F93" i="18"/>
  <c r="F92" i="18"/>
  <c r="D91" i="18"/>
  <c r="D90" i="18"/>
  <c r="F90" i="18" s="1"/>
  <c r="F89" i="18"/>
  <c r="D88" i="18"/>
  <c r="F88" i="18" s="1"/>
  <c r="D87" i="18"/>
  <c r="F87" i="18" s="1"/>
  <c r="F82" i="18"/>
  <c r="F81" i="18"/>
  <c r="D80" i="18"/>
  <c r="F80" i="18" s="1"/>
  <c r="D79" i="18"/>
  <c r="F79" i="18" s="1"/>
  <c r="D78" i="18"/>
  <c r="F78" i="18" s="1"/>
  <c r="D77" i="18"/>
  <c r="D143" i="18" s="1"/>
  <c r="F143" i="18" s="1"/>
  <c r="D68" i="18"/>
  <c r="F68" i="18" s="1"/>
  <c r="D75" i="18"/>
  <c r="D74" i="18"/>
  <c r="F74" i="18" s="1"/>
  <c r="F73" i="18"/>
  <c r="D72" i="18"/>
  <c r="F72" i="18" s="1"/>
  <c r="D71" i="18"/>
  <c r="D70" i="18"/>
  <c r="D69" i="18"/>
  <c r="F67" i="18"/>
  <c r="D66" i="18"/>
  <c r="F66" i="18" s="1"/>
  <c r="D65" i="18"/>
  <c r="F65" i="18" s="1"/>
  <c r="D64" i="18"/>
  <c r="F64" i="18" s="1"/>
  <c r="D63" i="18"/>
  <c r="F63" i="18" s="1"/>
  <c r="F60" i="18"/>
  <c r="D59" i="18"/>
  <c r="F59" i="18" s="1"/>
  <c r="G58" i="18" s="1"/>
  <c r="F53" i="18"/>
  <c r="D52" i="18"/>
  <c r="F52" i="18" s="1"/>
  <c r="F51" i="18"/>
  <c r="F50" i="18"/>
  <c r="F49" i="18"/>
  <c r="F48" i="18"/>
  <c r="F46" i="18"/>
  <c r="F45" i="18"/>
  <c r="F44" i="18"/>
  <c r="F43" i="18"/>
  <c r="F42" i="18"/>
  <c r="D41" i="18"/>
  <c r="F41" i="18" s="1"/>
  <c r="F40" i="18"/>
  <c r="F39" i="18"/>
  <c r="D38" i="18"/>
  <c r="F38" i="18" s="1"/>
  <c r="F37" i="18"/>
  <c r="D36" i="18"/>
  <c r="F36" i="18" s="1"/>
  <c r="F35" i="18"/>
  <c r="D34" i="18"/>
  <c r="F34" i="18" s="1"/>
  <c r="D33" i="18"/>
  <c r="F33" i="18" s="1"/>
  <c r="F32" i="18"/>
  <c r="F31" i="18"/>
  <c r="F30" i="18"/>
  <c r="F29" i="18"/>
  <c r="F28" i="18"/>
  <c r="F27" i="18"/>
  <c r="F26" i="18"/>
  <c r="F25" i="18"/>
  <c r="F24" i="18"/>
  <c r="D23" i="18"/>
  <c r="F23" i="18" s="1"/>
  <c r="F22" i="18"/>
  <c r="F21" i="18"/>
  <c r="D20" i="18"/>
  <c r="F20" i="18" s="1"/>
  <c r="D19" i="18"/>
  <c r="F19" i="18" s="1"/>
  <c r="F18" i="18"/>
  <c r="D17" i="18"/>
  <c r="F17" i="18" s="1"/>
  <c r="D15" i="18"/>
  <c r="F15" i="18" s="1"/>
  <c r="D14" i="18"/>
  <c r="F14" i="18" s="1"/>
  <c r="F13" i="18"/>
  <c r="F12" i="18"/>
  <c r="F11" i="18"/>
  <c r="D10" i="18"/>
  <c r="F10" i="18" s="1"/>
  <c r="F9" i="18"/>
  <c r="D68" i="13"/>
  <c r="D63" i="13"/>
  <c r="D55" i="13"/>
  <c r="D54" i="13" s="1"/>
  <c r="D53" i="13"/>
  <c r="D44" i="13"/>
  <c r="D45" i="13" s="1"/>
  <c r="D46" i="13" s="1"/>
  <c r="F56" i="16"/>
  <c r="F55" i="16"/>
  <c r="F54" i="16"/>
  <c r="F53" i="16"/>
  <c r="F52" i="16"/>
  <c r="F51" i="16"/>
  <c r="F50" i="16"/>
  <c r="F49" i="16"/>
  <c r="F48" i="16"/>
  <c r="F47" i="16"/>
  <c r="D46" i="16"/>
  <c r="F45" i="16"/>
  <c r="F44" i="16"/>
  <c r="D43" i="16"/>
  <c r="F42" i="16"/>
  <c r="F39" i="16"/>
  <c r="F38" i="16"/>
  <c r="F37" i="16"/>
  <c r="F36" i="16"/>
  <c r="F35" i="16"/>
  <c r="F34" i="16"/>
  <c r="F32" i="16"/>
  <c r="F31" i="16"/>
  <c r="F30" i="16"/>
  <c r="F29" i="16"/>
  <c r="F28" i="16"/>
  <c r="F27" i="16"/>
  <c r="F23" i="16"/>
  <c r="F18" i="16"/>
  <c r="F15" i="16"/>
  <c r="F16" i="16"/>
  <c r="F7" i="16"/>
  <c r="D138" i="18" l="1"/>
  <c r="G148" i="18"/>
  <c r="G154" i="18"/>
  <c r="F70" i="18"/>
  <c r="D84" i="18"/>
  <c r="D140" i="18"/>
  <c r="F140" i="18" s="1"/>
  <c r="F75" i="18"/>
  <c r="G247" i="18"/>
  <c r="G47" i="18"/>
  <c r="G98" i="18"/>
  <c r="F71" i="18"/>
  <c r="F201" i="18"/>
  <c r="F91" i="18"/>
  <c r="F43" i="16"/>
  <c r="G336" i="18"/>
  <c r="F69" i="18"/>
  <c r="F94" i="18"/>
  <c r="G8" i="18"/>
  <c r="G170" i="18"/>
  <c r="F22" i="16"/>
  <c r="F19" i="16"/>
  <c r="F20" i="16"/>
  <c r="F46" i="16"/>
  <c r="D33" i="16"/>
  <c r="F33" i="16" s="1"/>
  <c r="F10" i="16"/>
  <c r="D11" i="16"/>
  <c r="D12" i="16" s="1"/>
  <c r="D13" i="16" s="1"/>
  <c r="D14" i="16" s="1"/>
  <c r="F14" i="16" s="1"/>
  <c r="G18" i="17"/>
  <c r="F24" i="17"/>
  <c r="D141" i="18"/>
  <c r="F141" i="18" s="1"/>
  <c r="F138" i="18"/>
  <c r="D85" i="18"/>
  <c r="F85" i="18" s="1"/>
  <c r="F84" i="18"/>
  <c r="G16" i="18"/>
  <c r="G325" i="18"/>
  <c r="G352" i="18"/>
  <c r="G186" i="18"/>
  <c r="D76" i="18"/>
  <c r="F77" i="18"/>
  <c r="D47" i="13"/>
  <c r="D48" i="13" s="1"/>
  <c r="F9" i="16"/>
  <c r="F13" i="16" l="1"/>
  <c r="F12" i="16"/>
  <c r="F11" i="16"/>
  <c r="D139" i="18"/>
  <c r="F76" i="18"/>
  <c r="D39" i="15"/>
  <c r="D31" i="15"/>
  <c r="D28" i="15"/>
  <c r="D26" i="15"/>
  <c r="D14" i="15"/>
  <c r="D13" i="15"/>
  <c r="F42" i="15"/>
  <c r="F41" i="15"/>
  <c r="D40" i="15"/>
  <c r="F40" i="15" s="1"/>
  <c r="F38" i="15"/>
  <c r="F37" i="15"/>
  <c r="D35" i="15"/>
  <c r="D36" i="15" s="1"/>
  <c r="F34" i="15"/>
  <c r="F33" i="15"/>
  <c r="F32" i="15"/>
  <c r="D30" i="15"/>
  <c r="F29" i="15"/>
  <c r="F27" i="15"/>
  <c r="F26" i="15"/>
  <c r="F25" i="15"/>
  <c r="F24" i="15"/>
  <c r="F23" i="15"/>
  <c r="F22" i="15"/>
  <c r="F21" i="15"/>
  <c r="F20" i="15"/>
  <c r="F19" i="15"/>
  <c r="F18" i="15"/>
  <c r="F17" i="15"/>
  <c r="F16" i="15"/>
  <c r="F15" i="15"/>
  <c r="F12" i="15"/>
  <c r="F10" i="15"/>
  <c r="F9" i="15"/>
  <c r="F8" i="15"/>
  <c r="F7" i="15"/>
  <c r="D12" i="13"/>
  <c r="F49" i="14"/>
  <c r="F48" i="14"/>
  <c r="F47" i="14"/>
  <c r="F46" i="14"/>
  <c r="F45" i="14"/>
  <c r="F44" i="14"/>
  <c r="F43" i="14"/>
  <c r="F42" i="14"/>
  <c r="F41" i="14"/>
  <c r="F40" i="14"/>
  <c r="D39" i="14"/>
  <c r="F38" i="14"/>
  <c r="F37" i="14"/>
  <c r="D36" i="14"/>
  <c r="F35" i="14"/>
  <c r="F34" i="14"/>
  <c r="D33" i="14"/>
  <c r="F33" i="14" s="1"/>
  <c r="F32" i="14"/>
  <c r="F31" i="14"/>
  <c r="F30" i="14"/>
  <c r="F29" i="14"/>
  <c r="D28" i="14"/>
  <c r="F28" i="14" s="1"/>
  <c r="F27" i="14"/>
  <c r="F26" i="14"/>
  <c r="F25" i="14"/>
  <c r="F24" i="14"/>
  <c r="F23" i="14"/>
  <c r="F22" i="14"/>
  <c r="F21" i="14"/>
  <c r="D20" i="14"/>
  <c r="D18" i="14"/>
  <c r="F17" i="14"/>
  <c r="F16" i="14"/>
  <c r="F14" i="14"/>
  <c r="D9" i="14"/>
  <c r="D10" i="14" s="1"/>
  <c r="D11" i="14" s="1"/>
  <c r="D12" i="14" s="1"/>
  <c r="D13" i="14" s="1"/>
  <c r="F15" i="14"/>
  <c r="F7" i="14"/>
  <c r="D12" i="12"/>
  <c r="F9" i="14" l="1"/>
  <c r="F20" i="14"/>
  <c r="D19" i="14"/>
  <c r="F57" i="16"/>
  <c r="G62" i="18"/>
  <c r="D142" i="18"/>
  <c r="F142" i="18" s="1"/>
  <c r="F139" i="18"/>
  <c r="G137" i="18" s="1"/>
  <c r="F39" i="15"/>
  <c r="F28" i="15"/>
  <c r="F14" i="15"/>
  <c r="F13" i="15"/>
  <c r="F30" i="15"/>
  <c r="F36" i="15"/>
  <c r="F31" i="15"/>
  <c r="F35" i="15"/>
  <c r="F36" i="14"/>
  <c r="F39" i="14"/>
  <c r="F12" i="14"/>
  <c r="F19" i="14"/>
  <c r="F18" i="14"/>
  <c r="F8" i="14"/>
  <c r="F10" i="14"/>
  <c r="F11" i="14"/>
  <c r="F13" i="14"/>
  <c r="F368" i="18" l="1"/>
  <c r="G355" i="18" s="1"/>
  <c r="F50" i="14"/>
  <c r="F11" i="11" s="1"/>
  <c r="F72" i="13"/>
  <c r="F12" i="11" s="1"/>
  <c r="F43" i="15" l="1"/>
  <c r="F10" i="11" s="1"/>
  <c r="D103" i="12" l="1"/>
  <c r="D115" i="12"/>
  <c r="D112" i="12"/>
  <c r="D109" i="12"/>
  <c r="D84" i="12"/>
  <c r="D85" i="12" s="1"/>
  <c r="D86" i="12" s="1"/>
  <c r="D87" i="12" s="1"/>
  <c r="D88" i="12" s="1"/>
  <c r="D78" i="12"/>
  <c r="D73" i="12"/>
  <c r="D74" i="12" s="1"/>
  <c r="D95" i="12" l="1"/>
  <c r="D93" i="12"/>
  <c r="D94" i="12" s="1"/>
  <c r="D69" i="12"/>
  <c r="D68" i="12"/>
  <c r="D37" i="12"/>
  <c r="D38" i="12" s="1"/>
  <c r="F128" i="12" l="1"/>
  <c r="E46" i="10" l="1"/>
  <c r="E47" i="10"/>
  <c r="E40" i="10"/>
  <c r="H18" i="3" l="1"/>
  <c r="H20" i="3"/>
  <c r="H28" i="3"/>
  <c r="H22" i="3"/>
  <c r="H21" i="3"/>
  <c r="H24" i="3" l="1"/>
  <c r="H15" i="10"/>
  <c r="H41" i="10"/>
  <c r="H17" i="10"/>
  <c r="H73" i="10"/>
  <c r="H70" i="10"/>
  <c r="H69" i="10"/>
  <c r="H68" i="10"/>
  <c r="H66" i="10"/>
  <c r="H65" i="10"/>
  <c r="H64" i="10"/>
  <c r="H63" i="10"/>
  <c r="H62" i="10"/>
  <c r="H61" i="10"/>
  <c r="H60" i="10"/>
  <c r="H58" i="10"/>
  <c r="H57" i="10"/>
  <c r="H56" i="10"/>
  <c r="H54" i="10"/>
  <c r="H53" i="10"/>
  <c r="H52" i="10"/>
  <c r="H50" i="10"/>
  <c r="H49" i="10"/>
  <c r="H38" i="10"/>
  <c r="H37" i="10"/>
  <c r="H35" i="10"/>
  <c r="H34" i="10"/>
  <c r="H33" i="10"/>
  <c r="E31" i="10"/>
  <c r="H31" i="10" s="1"/>
  <c r="H30" i="10"/>
  <c r="H29" i="10"/>
  <c r="H28" i="10"/>
  <c r="H26" i="10"/>
  <c r="H25" i="10"/>
  <c r="H24" i="10"/>
  <c r="H20" i="10"/>
  <c r="H19" i="10"/>
  <c r="H18" i="10"/>
  <c r="H16" i="10"/>
  <c r="H14" i="10"/>
  <c r="H13" i="10"/>
  <c r="H12" i="10"/>
  <c r="H40" i="10" l="1"/>
  <c r="H72" i="10"/>
  <c r="H47" i="10"/>
  <c r="H59" i="10"/>
  <c r="H32" i="3" l="1"/>
  <c r="H31" i="3"/>
  <c r="H30" i="3"/>
  <c r="H27" i="3"/>
  <c r="H25" i="3"/>
  <c r="H26" i="3"/>
  <c r="H19" i="3"/>
  <c r="H17" i="3"/>
  <c r="H16" i="3"/>
  <c r="H15" i="3"/>
  <c r="H14" i="3"/>
  <c r="H13" i="3"/>
  <c r="H12" i="3"/>
  <c r="H11" i="3"/>
  <c r="H10" i="3"/>
  <c r="H46" i="10" l="1"/>
  <c r="H44" i="10"/>
  <c r="H22" i="10"/>
  <c r="H45" i="10" l="1"/>
  <c r="H43" i="10"/>
  <c r="H29" i="3"/>
  <c r="H33" i="3" l="1"/>
  <c r="H42" i="10" l="1"/>
  <c r="H74" i="10" l="1"/>
  <c r="F9" i="11" s="1"/>
  <c r="F18" i="11" s="1"/>
</calcChain>
</file>

<file path=xl/sharedStrings.xml><?xml version="1.0" encoding="utf-8"?>
<sst xmlns="http://schemas.openxmlformats.org/spreadsheetml/2006/main" count="1971" uniqueCount="776">
  <si>
    <t>Nº</t>
  </si>
  <si>
    <t>Codigo</t>
  </si>
  <si>
    <t>Descripción</t>
  </si>
  <si>
    <t>Unidad</t>
  </si>
  <si>
    <t>Cant.</t>
  </si>
  <si>
    <t>Precio Total</t>
  </si>
  <si>
    <t>72101703-007</t>
  </si>
  <si>
    <t>72103003-001</t>
  </si>
  <si>
    <t>1.1</t>
  </si>
  <si>
    <t>m2</t>
  </si>
  <si>
    <t>72131601-009</t>
  </si>
  <si>
    <t>72131601-010</t>
  </si>
  <si>
    <t>72102602-007</t>
  </si>
  <si>
    <t>72101601-002</t>
  </si>
  <si>
    <t>PINTURA</t>
  </si>
  <si>
    <t>72102304-003</t>
  </si>
  <si>
    <t>72131601-004</t>
  </si>
  <si>
    <t>55121704-001</t>
  </si>
  <si>
    <t xml:space="preserve">TRABAJOS PRELIMINARES </t>
  </si>
  <si>
    <t>DEMOLICION (EDIFICIOS EXISTENTES)</t>
  </si>
  <si>
    <t>M2</t>
  </si>
  <si>
    <t>GL</t>
  </si>
  <si>
    <t>UN</t>
  </si>
  <si>
    <t>1.7</t>
  </si>
  <si>
    <t>1.8</t>
  </si>
  <si>
    <t>ML</t>
  </si>
  <si>
    <t>72131601-007</t>
  </si>
  <si>
    <t>72101607-005</t>
  </si>
  <si>
    <t>UN.</t>
  </si>
  <si>
    <t>72102201-003</t>
  </si>
  <si>
    <t>INSTALACION ELECTRICA</t>
  </si>
  <si>
    <t>BOCAS DE LUCES</t>
  </si>
  <si>
    <t>BOCA DE VT</t>
  </si>
  <si>
    <t>72102402-001</t>
  </si>
  <si>
    <t>INTERIOR DE PAREDES AL LATEX CON ENDUIDO</t>
  </si>
  <si>
    <t>EXTERIOR AL LATEX ACRILICO</t>
  </si>
  <si>
    <t xml:space="preserve">DE ABERTURAS METÁLICAS CON ANTIOXIDO Y ESMALTE SINTETICO </t>
  </si>
  <si>
    <t>DE ABERTURAS DE MADERA CON ESMALTE SINTETICO</t>
  </si>
  <si>
    <t>un</t>
  </si>
  <si>
    <t>ml</t>
  </si>
  <si>
    <t>Precio Unitario + costos Gs.</t>
  </si>
  <si>
    <t>Costo</t>
  </si>
  <si>
    <t>VENTILADOR DE TECHO</t>
  </si>
  <si>
    <t>Desmonte de electricidad (boca) luces y tomas</t>
  </si>
  <si>
    <t>Estructura metalica de techo  - vigas contravigas pilares y correas</t>
  </si>
  <si>
    <t>- De Techo de chapas(con retiro)</t>
  </si>
  <si>
    <t>- De Escalera metálica(con retiro)</t>
  </si>
  <si>
    <t>- De CIELORRASO (con retiro)</t>
  </si>
  <si>
    <t>- De Estructura de Techo de chapas(con retito)</t>
  </si>
  <si>
    <t>VALLADO PERIMETRAL DE SEGURIDAD H=2MT</t>
  </si>
  <si>
    <t>PROVISIÓN Y COLOCACIÓN DE CARTELERIA , VALLADOS Y CINTAS DE SEGIRIDADA DE OBRA (1,40x2,80 c/marco metálico)</t>
  </si>
  <si>
    <t>PLAFON LED DE 18 W</t>
  </si>
  <si>
    <t xml:space="preserve">- Limpieza </t>
  </si>
  <si>
    <t xml:space="preserve">ESTRUCTURA  METÁLICA </t>
  </si>
  <si>
    <t>Ítem</t>
  </si>
  <si>
    <t>Código</t>
  </si>
  <si>
    <t>Cantidad</t>
  </si>
  <si>
    <t>10.1</t>
  </si>
  <si>
    <t>10.3</t>
  </si>
  <si>
    <t>10.5</t>
  </si>
  <si>
    <t>11.1</t>
  </si>
  <si>
    <t>11.2</t>
  </si>
  <si>
    <t>11.4</t>
  </si>
  <si>
    <t>Unid.</t>
  </si>
  <si>
    <t>DEMOLICIÓN CON RETIRO DE ESCOMBROS</t>
  </si>
  <si>
    <t>a) De abertura de madera con marco  0,80 x 2,10 m. en baño</t>
  </si>
  <si>
    <t>unid.</t>
  </si>
  <si>
    <t>b) De cielorraso con hidrófugo</t>
  </si>
  <si>
    <t>AZULEJO - PISO Y ZOCALO</t>
  </si>
  <si>
    <t>ABERTURAS (con cerraduras)</t>
  </si>
  <si>
    <t>Unid</t>
  </si>
  <si>
    <t>Unid,</t>
  </si>
  <si>
    <t>INSTALACIÓN DE AGUA CORRIENTE</t>
  </si>
  <si>
    <t>a) Toma especial con tierra</t>
  </si>
  <si>
    <t>b) Toma para informática</t>
  </si>
  <si>
    <t xml:space="preserve">Unid. </t>
  </si>
  <si>
    <t xml:space="preserve">c) Toma común </t>
  </si>
  <si>
    <t>e) bocas de AºAº monofásico</t>
  </si>
  <si>
    <t>f) Toma para teléfono</t>
  </si>
  <si>
    <t>PROVICIÓN Y COLOCACIÓN AºAº -(incluye cañerías de cobre con aislación y de desagüe)</t>
  </si>
  <si>
    <t>VARIOS</t>
  </si>
  <si>
    <t>f) De piso vinilico</t>
  </si>
  <si>
    <t>g)  De artefactos lumínicos,  Equipos Fluorescentes c/rec.</t>
  </si>
  <si>
    <t>h)  De muro para reubicar puerta en baño</t>
  </si>
  <si>
    <t>i) Azulejos</t>
  </si>
  <si>
    <t xml:space="preserve">j)desmonte de AºAº:   Split de 60000 </t>
  </si>
  <si>
    <t>MAMPARA</t>
  </si>
  <si>
    <t>REVOQUE Y REPARACIONES</t>
  </si>
  <si>
    <t>a) De mampostería interior con hidrófugo</t>
  </si>
  <si>
    <t>c) Reparar y revocar paredes nuevas, fisuradas y con humedad</t>
  </si>
  <si>
    <t>b) Zócalo granìtico en depósitos</t>
  </si>
  <si>
    <t>a) Puerta tipo reja metálica para acceso a zonas especiales 0,80x2,15 - cerradura de seguridad doble paleta bastidor metálico y tejido expandido</t>
  </si>
  <si>
    <t>b) Abertura de madera, puerta placa 0,80 x 2,10 m. - con cerradura (solo colocación)c/marco</t>
  </si>
  <si>
    <t>c) Provisión y colocación de contramarco de madera de cedro</t>
  </si>
  <si>
    <t>REJAS CON BASTIDOR METÀLICO Y TEJIDO EXPANDIDO</t>
  </si>
  <si>
    <t>a) Provisión y colocación de cerco metálico con bastidor y tejido expandido pintado</t>
  </si>
  <si>
    <t>b) Provisión y colocación de mampara de yeso acartonado.</t>
  </si>
  <si>
    <t>a) Pintura epoxica c/ enduido int. en zonas reparadas</t>
  </si>
  <si>
    <t>b) Pintura interior con pintura epoxica</t>
  </si>
  <si>
    <t>d) Pintura de ventanas al sintético</t>
  </si>
  <si>
    <t>e) Pintura de abertura de madera y marco</t>
  </si>
  <si>
    <t>f) Abertura metálica y reja existentes</t>
  </si>
  <si>
    <t xml:space="preserve">g) pintura exterior vista al estacionamiento - </t>
  </si>
  <si>
    <t>h)Pintura de mampara de yeso acartonado Epoxi</t>
  </si>
  <si>
    <t xml:space="preserve">DESAGUE CLOACAL </t>
  </si>
  <si>
    <t xml:space="preserve">a) Lavamanos </t>
  </si>
  <si>
    <t>b)Conexiòn a la red existente</t>
  </si>
  <si>
    <t xml:space="preserve">a) lavamanos </t>
  </si>
  <si>
    <t>b) Arreglo de conexión de agua corriente en baño</t>
  </si>
  <si>
    <t>c) Conexiòn a la red existente</t>
  </si>
  <si>
    <t>INSTALACIÓN ELÉCTRICA</t>
  </si>
  <si>
    <t>d)  Boca de Luces  nuevas</t>
  </si>
  <si>
    <t>g) Equipos led 40 x 40 w. de adosar</t>
  </si>
  <si>
    <t>h)provisión y colocación de extractor de aire de 30cm incluye conexión eléctrica</t>
  </si>
  <si>
    <t>h) Provisión colocación de focos led de 36W con portafocos de 20 en depósito Cambio de equipos fluorescentes</t>
  </si>
  <si>
    <t>i) Tablero seccional para 12 llaves TM</t>
  </si>
  <si>
    <t>j) extención de red desde la caseta de tableros al tablero seccional cables de 35mm</t>
  </si>
  <si>
    <t>a) Prov. Colocación de A.A. tipo Split de 60.000 BTU</t>
  </si>
  <si>
    <t>b) Prov. Colocación de A.A. tipo Split de 36.000 BTU</t>
  </si>
  <si>
    <t>c) Prov. Colocación de cortina de aire</t>
  </si>
  <si>
    <t>a)provisión y colocación de lavamanos con canilla cromada</t>
  </si>
  <si>
    <t>PLANILLA DE COMPUTO Y PRESUPUESTO TECHO DE EX URGENCIAS</t>
  </si>
  <si>
    <t xml:space="preserve">UBICACIÓN PLANTA BAJA </t>
  </si>
  <si>
    <t>TECHO - CIELORRASO</t>
  </si>
  <si>
    <t>TERMOPANEL  DE    (EPS) DE 0,4MM.  COLOR CURDO Y MARFIL BLANCO (abajo). INCLUYE ESTRUCTURA METÁLICA DE SOPORTE</t>
  </si>
  <si>
    <t>TOTAL GENERAL INCLUYE IVA</t>
  </si>
  <si>
    <t>8.1</t>
  </si>
  <si>
    <t>8.2</t>
  </si>
  <si>
    <t>1.2</t>
  </si>
  <si>
    <t>1.3</t>
  </si>
  <si>
    <t>1.4</t>
  </si>
  <si>
    <t>1.5</t>
  </si>
  <si>
    <t>1.6</t>
  </si>
  <si>
    <t>1.9</t>
  </si>
  <si>
    <t>2.1</t>
  </si>
  <si>
    <t>2.3</t>
  </si>
  <si>
    <t>3.1</t>
  </si>
  <si>
    <t>3.2</t>
  </si>
  <si>
    <t>4.1</t>
  </si>
  <si>
    <t>4.2</t>
  </si>
  <si>
    <t>4.3</t>
  </si>
  <si>
    <t>4.4</t>
  </si>
  <si>
    <t>5.1</t>
  </si>
  <si>
    <t>5.2</t>
  </si>
  <si>
    <t>5.3</t>
  </si>
  <si>
    <t>6.1</t>
  </si>
  <si>
    <t>6.2</t>
  </si>
  <si>
    <t>7.1</t>
  </si>
  <si>
    <t>7.2</t>
  </si>
  <si>
    <t>7.3</t>
  </si>
  <si>
    <t>7.4</t>
  </si>
  <si>
    <t>7.5</t>
  </si>
  <si>
    <t>7.6</t>
  </si>
  <si>
    <t>9.1</t>
  </si>
  <si>
    <t>9.2</t>
  </si>
  <si>
    <t>9.3</t>
  </si>
  <si>
    <t>10.2</t>
  </si>
  <si>
    <t>10.4</t>
  </si>
  <si>
    <t>10.6</t>
  </si>
  <si>
    <t>10.7</t>
  </si>
  <si>
    <t>10.8</t>
  </si>
  <si>
    <t>12.1</t>
  </si>
  <si>
    <t>12.2</t>
  </si>
  <si>
    <t>b) Remoción de revoque con presencia de humedad (moho) en paredes -</t>
  </si>
  <si>
    <t>c) Remoción de revoque con presencia de humedad (moho) en cielo  raso.-</t>
  </si>
  <si>
    <t>Cielo raso de PVC en hall de acceso INCLUYE JUNTA PERIMETRAL</t>
  </si>
  <si>
    <t>72102304-001</t>
  </si>
  <si>
    <t>72131601-013</t>
  </si>
  <si>
    <t>40101701-002</t>
  </si>
  <si>
    <t>72131601-008</t>
  </si>
  <si>
    <t>72131601-011</t>
  </si>
  <si>
    <t>3.3</t>
  </si>
  <si>
    <t>7.7</t>
  </si>
  <si>
    <t>7.8</t>
  </si>
  <si>
    <t>10.9</t>
  </si>
  <si>
    <t>10.10</t>
  </si>
  <si>
    <t>10.11</t>
  </si>
  <si>
    <t>RESUMEN GENERAL.</t>
  </si>
  <si>
    <t>a) Provisión y colocación de mampara de yeso acartonado ciega</t>
  </si>
  <si>
    <r>
      <rPr>
        <b/>
        <sz val="10"/>
        <rFont val="Calibri"/>
        <family val="2"/>
        <scheme val="minor"/>
      </rPr>
      <t xml:space="preserve">Son guaranies:Quinentos veitidos </t>
    </r>
    <r>
      <rPr>
        <sz val="10"/>
        <rFont val="Calibri"/>
        <family val="2"/>
        <scheme val="minor"/>
      </rPr>
      <t>millones quinientos ochenta y nueve mil  cuatrocientos cuatro.-</t>
    </r>
  </si>
  <si>
    <t>DEPOSITO DE ALIMENTOS 2° PISO EDIFICIO SENSA</t>
  </si>
  <si>
    <t>d) Contrapiso en depósito2° Piso</t>
  </si>
  <si>
    <t>c) Piso cerámico en escalera reparar</t>
  </si>
  <si>
    <t>a) Provisión y colocación de piso granìtico color en depósito 2° Piso</t>
  </si>
  <si>
    <t xml:space="preserve">c) Pintura de techo de losa al látex en depósito </t>
  </si>
  <si>
    <t>b) Limpieza final y acarreo de  escombro</t>
  </si>
  <si>
    <t>e) De contrapiso y carpeta total 2°Piso</t>
  </si>
  <si>
    <t>Planilla de Computo Métrico y Presupuesto</t>
  </si>
  <si>
    <t>Reparaciones y reposiciones varias en   -Hospital de Trauma "Manuel Giagni"</t>
  </si>
  <si>
    <t>DESCRIPCIÓN DE RUBROS</t>
  </si>
  <si>
    <t>UNIDAD</t>
  </si>
  <si>
    <t>CANTIDAD</t>
  </si>
  <si>
    <t>Precio Unitario</t>
  </si>
  <si>
    <t>1)Cambio de chapas y canaletas de borde 3er Piso Jefatura de Enfermería-Cambio desague pluvial y cloacal zona de Rampa</t>
  </si>
  <si>
    <t>1.1-)</t>
  </si>
  <si>
    <t>Vallado</t>
  </si>
  <si>
    <t>1.1.1</t>
  </si>
  <si>
    <t>a-) Protección vallado</t>
  </si>
  <si>
    <t>1.2-)</t>
  </si>
  <si>
    <t>Demoliciones</t>
  </si>
  <si>
    <t>1.2.1</t>
  </si>
  <si>
    <t>Demolición, con retiro de escombros</t>
  </si>
  <si>
    <t>1.2.2</t>
  </si>
  <si>
    <r>
      <t>m</t>
    </r>
    <r>
      <rPr>
        <vertAlign val="superscript"/>
        <sz val="11"/>
        <color theme="1"/>
        <rFont val="Calibri"/>
        <family val="2"/>
      </rPr>
      <t>2</t>
    </r>
  </si>
  <si>
    <t>1.2.3</t>
  </si>
  <si>
    <t>b) de canaleta existente</t>
  </si>
  <si>
    <t>1.2.4</t>
  </si>
  <si>
    <t>c) de cielorraso de carton enyesado en ex depósito de 3er Piso</t>
  </si>
  <si>
    <t>1.2.5</t>
  </si>
  <si>
    <t>d) de cielorraso de PVC  en estacionamiento ex Urgencia</t>
  </si>
  <si>
    <t>1.2.6</t>
  </si>
  <si>
    <t>e) de carton enyesado con perfilería vista en Rac ex Urgencia</t>
  </si>
  <si>
    <t>1.2.7</t>
  </si>
  <si>
    <t>1.3)-</t>
  </si>
  <si>
    <t>Techos y cielorraso</t>
  </si>
  <si>
    <t>1.3.1</t>
  </si>
  <si>
    <t>a)Cambio de chapas y aislación con Isolan en 3er piso</t>
  </si>
  <si>
    <t>1.3.2</t>
  </si>
  <si>
    <t>1.3.3</t>
  </si>
  <si>
    <t>1.3.4</t>
  </si>
  <si>
    <t>e)-Cambio de techo de poligal por chapa</t>
  </si>
  <si>
    <t>1.4-)</t>
  </si>
  <si>
    <t>Canaletas y Babetas - desague cloacal y pluvial en terreno</t>
  </si>
  <si>
    <t>1.4.1</t>
  </si>
  <si>
    <t>a) Canaleta de borde de techo de 3er piso</t>
  </si>
  <si>
    <t>1.4.2</t>
  </si>
  <si>
    <t>b) canaleta embutida techo 3er piso  (Aire y Luz) altura superior a 20m</t>
  </si>
  <si>
    <t>1.4.3</t>
  </si>
  <si>
    <t>1.4.4</t>
  </si>
  <si>
    <t>d)- Bocas metálicas de desague, enplanta baja ex urgencia</t>
  </si>
  <si>
    <t>1.4.5</t>
  </si>
  <si>
    <t>e)-Caños de 150 para desague en planta baja ex urgencia</t>
  </si>
  <si>
    <t>1.4.6</t>
  </si>
  <si>
    <t>f)- Caño de bajada de 150 - patio aire y luz lado rampa altura superior a 20m sin apoyo</t>
  </si>
  <si>
    <t>1.4.7</t>
  </si>
  <si>
    <t>g) Babeta metálica de  65 cm de desarrollo en union de rampa acceso a urgencia y edificio</t>
  </si>
  <si>
    <t>1.4.8</t>
  </si>
  <si>
    <t>h)Cerramiento lateral con malla artistica para evitar ingreso de alimañas</t>
  </si>
  <si>
    <t>1.4.9</t>
  </si>
  <si>
    <t>i)Caño de 150mm para deague cloacal (pasillo unión de edificios - Salida de emergencia). Incluye lecho de arena, proteccion mecanica con ladrillo comun y compactacion de excavaciones, relleno y apisonado enhundimientos existentes.</t>
  </si>
  <si>
    <t>1.4.10</t>
  </si>
  <si>
    <t>j)Caño de 150mm para desague pluvial (patio de Aire y Luz zona rampa) enterrados. Incluye lecho de arena, proteccion mecanica con ladrillo comun y compactacion de excavaciones, relleno y apisonado en  hundimientos existentes.</t>
  </si>
  <si>
    <t>1.4.11</t>
  </si>
  <si>
    <t>k)Camara de inspección cloacal de 50x50x0,80de prof, construida y revocada con mezcla hidrofuga. Con sistema de tapa dopble. Tapa superior  con marco metalico reforzado y base para piso con plancheulas tranversales de refuerzo.</t>
  </si>
  <si>
    <t>1.4.12</t>
  </si>
  <si>
    <t>l)Camara de inspección pluvial de 40x40x0,80 de prof, construida y revocada con mezcla hidrofuga. Con sistema de tapa dopble. Tapa superior  con marco metalico reforzado y base para piso con plancheulas tranversales de refuerzo.</t>
  </si>
  <si>
    <t>1.4.13</t>
  </si>
  <si>
    <t>m)Contrapiso de cascote previa compactación y relleno del lecho del caño.</t>
  </si>
  <si>
    <t>1.4.14</t>
  </si>
  <si>
    <t>n)Carpeta hidrofuga para base de piso. (area de pasillos de salida de emergencia)</t>
  </si>
  <si>
    <t>1.4.15</t>
  </si>
  <si>
    <t>1.4.16</t>
  </si>
  <si>
    <t>1.5)</t>
  </si>
  <si>
    <t>Varios</t>
  </si>
  <si>
    <t>1.5.1</t>
  </si>
  <si>
    <t>a)pintura de muros al latex muro aire y luz lado rampa</t>
  </si>
  <si>
    <t>1.5.2</t>
  </si>
  <si>
    <t>b) extractor de aire (con  mantenimiento del existente)</t>
  </si>
  <si>
    <t>1.5.3</t>
  </si>
  <si>
    <t>c) colocación de artefactos luminosos en boca existente</t>
  </si>
  <si>
    <t>1.5.4</t>
  </si>
  <si>
    <t xml:space="preserve">d) Limpieza final y retiro de escombros </t>
  </si>
  <si>
    <t>Global</t>
  </si>
  <si>
    <t>2- Aislación de terraza y juntas Bloque B (techo del  6to piso)</t>
  </si>
  <si>
    <t>2.1-)</t>
  </si>
  <si>
    <t>2.1.1</t>
  </si>
  <si>
    <t>2.2-)</t>
  </si>
  <si>
    <t>2.2.1</t>
  </si>
  <si>
    <t>Demolición en TERRAZA, con retiro de escombros</t>
  </si>
  <si>
    <t>2.2.2</t>
  </si>
  <si>
    <t>a) De contrapiso c/ carpeta Ala E.Ayala</t>
  </si>
  <si>
    <t>2.2.3</t>
  </si>
  <si>
    <t>b) de piso cerámico carpeta y contrapsio Ala Mcal.López y Centro</t>
  </si>
  <si>
    <t>2.2.4</t>
  </si>
  <si>
    <t>2.3)-</t>
  </si>
  <si>
    <t>Varios:  Muros, abertura metálica,vidrio y caños</t>
  </si>
  <si>
    <t>2.3.1</t>
  </si>
  <si>
    <t>a)-Muro ladrillo comun de 0,15</t>
  </si>
  <si>
    <t>2.3.2</t>
  </si>
  <si>
    <t>b)-Muro convocó en vanos sin aberturas</t>
  </si>
  <si>
    <t>2.3.3</t>
  </si>
  <si>
    <t xml:space="preserve">c)- Reposición de 2 puertas metálicas, (solo hojas metalicas ) faltantes en marco de madera de 0,85x2,10 y 0,90x1,67 </t>
  </si>
  <si>
    <t>unidad</t>
  </si>
  <si>
    <t>2.3.4</t>
  </si>
  <si>
    <t>d)- Reposición de vidrio de 4mm crudo.</t>
  </si>
  <si>
    <t>2.3.5</t>
  </si>
  <si>
    <t>e)-Envarillado de pared con problema de rajaduras.- incluye 6to piso</t>
  </si>
  <si>
    <t>2.3.6</t>
  </si>
  <si>
    <t>f)-Cambio de caño de bajada de 150mm</t>
  </si>
  <si>
    <t>2.3.7</t>
  </si>
  <si>
    <t>2.4-)</t>
  </si>
  <si>
    <t>Aislación e Impermeabilización térmica de Azotea -  Escalera  (según EE:TT)</t>
  </si>
  <si>
    <t>2.4.1</t>
  </si>
  <si>
    <t>a) Impermeabilización y aislación en azotea.Implica: A) Pintura con asfalto líquido elastomerizado de aplicación en  frío en tres manos.B) Provison y colocacion de capa geotextil con 50gr/m2 de peso. C)  Contrapiso con 1,5% de pendiente promedio D)alisada con cemento arena (1:4+ hidrofugo) con aprox. 2cm E)una mano de asfalto líquido de aplicación en frío (imprimación sobre alizada) F) Primera capa de membrana asfáltica la primera de 4mm de espesor  y 43kg  G) Sobre la membrana se colocará un geotextil de 50 Gr/m2 H)segundacapa membrana  de 3mm de espesor y 33 kg de peso. I)Piso de tejuelas prensadas c/ junta de dilatación c/4x4m, selladas con Mastic Asfáltico.en cuadros de 4mtx4mt. Debera preverse un esparcida de arena lavada seca antes de que la capa asfaltica frague  y antes que colocar la tejuelita a fin de creae porocidad de agarre.</t>
  </si>
  <si>
    <t>2.4.2</t>
  </si>
  <si>
    <t xml:space="preserve">b) Impermeabilizaciòn de techo escalera, tanques y ascensor. .Implica: A) Pintura con asfalto líquido elastomerizado de aplicación en  frío en tres manos.B) Provison y colocacion de capa geotextil con 50gr/m2 de peso. C)  Contrapiso con 1,5% de pendiente promedio D)alisada con cemento arena (1:4+ hidrofugo) con aprox. 2cm E)una mano de asfalto líquido de aplicación en frío (imprimación sobre alizada) F) Primera capa de membrana asfáltica la primera de 4mm de espesor  y 43kg  G) Sobre la membrana se colocará un geotextil de 50 Gr/m2 H)segundacapa membrana  de 3mm de espesor y 33 kg de peso. </t>
  </si>
  <si>
    <t>2.4.3</t>
  </si>
  <si>
    <t xml:space="preserve">c) Tratamiento de junta de dilatación horizontal. Implica A)limpieza y regularización de la superficie horizontal y revoque con arena-cemento (1:3) en el encuentro con la mampostería, aplicar una mano de asfalto líquido en frío (imprimación). B)Colocar la primera capa asfáltica de membrana de 4mm de espesor y 43kgr de peso en un ancho de 20cm a cada lado de la junta. C) Colocar cuerpo de apoyo de espuma de polietileno de celdas cerradas de diámetro ligeramente superior al ancho de la junta.(que entre a presión) D)Colocar la segunda capa asfáltica de membrana de 4mm de espesor y 43kgr de peso en un ancho de 30cm a cada lado de la junta. E)Luego de este primer tratamiento se realiza el contrapiso colocando 2cm de poliestireno expandido de 2cm de espesor.El segundo tratamiento de la junta se hará juntamente con la impermeabilización de la losa siguiendo los mismos pasos que el primero.
</t>
  </si>
  <si>
    <t>2.4.4</t>
  </si>
  <si>
    <t>d) Tratamiento de junta de dilataciòn vertical. Implica: A)impermeabilización con pintura aislante, impermeabilizante de base acrílica y refuerzo con tela poliéster tipo Telafix  de 20cm de ancho a cada lado de la junta B) -primera mano diluyendo la pintura un 50% en agua C) segunda mano pura D) Colocación de tela poliéster E) seguir hasta completar seis capas de pintura pura.  F)Colocación de tela poliéster. G)  cuerpo de apoyo de espuma de polietileno de celdas cerradas (igual al horizontal) H)  2ª impermeabilización similar a la 1ª capa I)Pintura final acrílica para exteriores color igual a la pintura existente. SE DEBERA PREVER ESTOS TRABAJOS CON ANDAMIOS Y SILLETEROS  SEGUN EL AREA A TRATAR.</t>
  </si>
  <si>
    <t>2.4.5</t>
  </si>
  <si>
    <t>e) Tratamiento de junta de dilataciòn horizontal 1º,2º,3º,4º5º y6º pisos. Implica A)limpieza y regularización de la superficie horizontal y revoque con arena-cemento (1:3) en el encuentro con la mampostería, aplicar una mano de asfalto líquido en frío (imprimación). B)Colocar la primera capa asfáltica de membrana de 4mm de espesor y 43kgr de peso en un ancho de 20cm a cada lado de la junta. C) Colocar cuerpo de apoyo de espuma de polietileno de celdas cerradas de diámetro ligeramente superior al ancho de la junta.(que entre a presión) . Luego se procedera al taponado del area de junta con fleje matalico de acero inoxidable.</t>
  </si>
  <si>
    <t>2.4.6</t>
  </si>
  <si>
    <t xml:space="preserve">f) Tratamiento de muro tipo parapeto perimetral en terraza H= 1,30mt. Implica. a) tratamiento de fisura con envarillado 
a) impermeabilización con pintura aislante, impermeabilizante de base acrílica y refuerzo con tela poliéster tipo Telafix de 1,30cm de ancho en la totalidad del muro incluyendo el espesor del mismo. 
- primera mano diluyendo la pintura un 50% en agua 
- segunda mano pura 
- Colocación de tela poliéster 
- Completar con un mínimo de 2 capas de pintura pura.  
</t>
  </si>
  <si>
    <t>2.5</t>
  </si>
  <si>
    <t>Pintura con reparacion de revoque en mamposteria y cielo raso en terraza</t>
  </si>
  <si>
    <t>2.5.1</t>
  </si>
  <si>
    <t>Remocion de pintura con presencia de humedad (moho) en paredes y cielo  raso.- (con retiro)</t>
  </si>
  <si>
    <t>2.5.2</t>
  </si>
  <si>
    <t>Tratameinto con azotada impremehable 1:3 mas hidrofugo en paredes y cielo raso.</t>
  </si>
  <si>
    <t>2.5.3</t>
  </si>
  <si>
    <t>Reposicion de revoque en paredes y cielo raso.</t>
  </si>
  <si>
    <t>2.5.4</t>
  </si>
  <si>
    <t>Pintura con  enduido tipo anti moho en paredes y cielo  raso.</t>
  </si>
  <si>
    <t>2.5.5</t>
  </si>
  <si>
    <t>Repintado de  maposterias y cielo raso sin presencia de humedad.</t>
  </si>
  <si>
    <t>2.5.6</t>
  </si>
  <si>
    <t>Lijado, sellado y preparacion de base para pintura en mamposterias sin presencia de humedad.</t>
  </si>
  <si>
    <t>2.5.7</t>
  </si>
  <si>
    <t>Pintura al latex exterior con pintura impermeabilizante elastica, con base de resina de estireno acrilica con plastificcion interna (Tipo Impacril).</t>
  </si>
  <si>
    <t>2.5.8</t>
  </si>
  <si>
    <t>Pintura sintetica de abertura madera 0,80mx2,2m. (puerta)y ventana de 1,40mtx1,40mt.(incluye marco y contramarco)</t>
  </si>
  <si>
    <t>2.5.9</t>
  </si>
  <si>
    <t>Pintura sintetica de abertura metálica puertas y ventanas.(incluye marco y contramarco)</t>
  </si>
  <si>
    <t>2.5.10</t>
  </si>
  <si>
    <t>Limpieza final y retiro de escombros .</t>
  </si>
  <si>
    <t>3-Arreglo 6to piso.-(areas interiores)</t>
  </si>
  <si>
    <t>Pintura con reparacion de revoque en mamposteria y cielo raso</t>
  </si>
  <si>
    <t>3.1.1</t>
  </si>
  <si>
    <t>3.1.2</t>
  </si>
  <si>
    <t>3.1.3</t>
  </si>
  <si>
    <t>3.1.4</t>
  </si>
  <si>
    <t>Pintura con  enduido tipo anti moho en paredes y cielo  raso</t>
  </si>
  <si>
    <t>3.1.5</t>
  </si>
  <si>
    <t>Remocion de pintura en paredes y cielo con pesencia de moho.</t>
  </si>
  <si>
    <t>3.1.6</t>
  </si>
  <si>
    <t>Pintura con  enduido en paredes y cielo raso tipo anti moho.</t>
  </si>
  <si>
    <t>Repintado de  maposterias y cielo raso sin presencia de humedad</t>
  </si>
  <si>
    <t>3.2.1</t>
  </si>
  <si>
    <t>Lijado, sellado y preparacion de base para pintura en mamposterias sin presencia de humedad</t>
  </si>
  <si>
    <t>3.2.2</t>
  </si>
  <si>
    <t>Pintura al latex interior tipo anti moho con enduhido</t>
  </si>
  <si>
    <t>3.2.3</t>
  </si>
  <si>
    <t>Pintura al latex interior tipo anti moho con enduhido en mamparas</t>
  </si>
  <si>
    <t>3.2.4</t>
  </si>
  <si>
    <t>Pintura al látex interior tipo epoxica  con enduido en paredes y cielo raso en laboratorios</t>
  </si>
  <si>
    <t>3.2.5</t>
  </si>
  <si>
    <t xml:space="preserve">Limpieza final y retiro de escombros </t>
  </si>
  <si>
    <t>Reparacion en baños</t>
  </si>
  <si>
    <t>3.3.1</t>
  </si>
  <si>
    <t>3.3.2</t>
  </si>
  <si>
    <t>Carperta para base de ceramico</t>
  </si>
  <si>
    <t>3.3.3</t>
  </si>
  <si>
    <t>Piso ceramico en baños</t>
  </si>
  <si>
    <t>3.3.4</t>
  </si>
  <si>
    <t>3.3.5</t>
  </si>
  <si>
    <t>3.3.6</t>
  </si>
  <si>
    <t>Cambio de cisternas en baño</t>
  </si>
  <si>
    <t>3.3.7</t>
  </si>
  <si>
    <t>Cambio de inodoros</t>
  </si>
  <si>
    <t>3.3.8</t>
  </si>
  <si>
    <t>Tapa para inodoros</t>
  </si>
  <si>
    <t>3.3.9</t>
  </si>
  <si>
    <t xml:space="preserve">Revestido de masada existene  con granito natural  en Nutrición y lavadero de Laboratorio incluye zacalo de 10cm y polleta de 10 cm, perforaciones paras 4 bachas </t>
  </si>
  <si>
    <t>3.4</t>
  </si>
  <si>
    <t>Pintura de aberturas</t>
  </si>
  <si>
    <t>3.4.1</t>
  </si>
  <si>
    <t xml:space="preserve">Repintado sintetico de puertas de madera de 0,60 y de 0,90 incluyendo marcos y contramarcos </t>
  </si>
  <si>
    <t>3.4.4</t>
  </si>
  <si>
    <t>Pintura de porton tipo reja (metalica) de acceso a terraza 2,80mtx2,00mt.</t>
  </si>
  <si>
    <t>3.5</t>
  </si>
  <si>
    <t>Aberturas de vidrio templado  y obras en mamparas tipo drywall</t>
  </si>
  <si>
    <t>3.5.1</t>
  </si>
  <si>
    <t>3.5.2</t>
  </si>
  <si>
    <t>3.5.3</t>
  </si>
  <si>
    <t>Remosión de mampara Eucatex</t>
  </si>
  <si>
    <t>3.5.4</t>
  </si>
  <si>
    <t>unid</t>
  </si>
  <si>
    <t>3.5.5</t>
  </si>
  <si>
    <t>3.5.6</t>
  </si>
  <si>
    <t xml:space="preserve">Provision y colocacion de ventana corrediza (uno paño fijo y un paño movil con pasador)de vidrio templado de 8mm con estructura de aluminio natural y color gris. De 1,00mtx1,40mt. </t>
  </si>
  <si>
    <t>3.5.7</t>
  </si>
  <si>
    <t>Provision y colocacion de ventana corrediza (uno paño fijo y un paño movil con pasador)  de vidrio templado de 8mm con estructura de aluminio  natural y color gris. De 1,40mtx1,40mt.</t>
  </si>
  <si>
    <t>3.5.8</t>
  </si>
  <si>
    <t>3.5.9</t>
  </si>
  <si>
    <t>3.5.10</t>
  </si>
  <si>
    <t>3.5.11</t>
  </si>
  <si>
    <t xml:space="preserve">Pintura en mampareas tipo latex interior con enduido </t>
  </si>
  <si>
    <t>3.5.12</t>
  </si>
  <si>
    <t>Pintura sintetica de puerta de dos hojas de 1,10mt*2,10mt incluye pintura de marco y contamarco</t>
  </si>
  <si>
    <t>3.5.13</t>
  </si>
  <si>
    <t>Pintura sintetica de puerta  de 0,80mt*2,10mt incluye pintura de marco y contamarco</t>
  </si>
  <si>
    <t>3.5.14</t>
  </si>
  <si>
    <t>3.5.15</t>
  </si>
  <si>
    <t>gl</t>
  </si>
  <si>
    <t>3.5.16</t>
  </si>
  <si>
    <t xml:space="preserve">Contenedores </t>
  </si>
  <si>
    <t>T O T A L   G E N E R A L</t>
  </si>
  <si>
    <t>AÑO 2024</t>
  </si>
  <si>
    <t>Reparacion de hojas y presianas de madera existentes en ventanas de 1,00mtx1,40mt y1,40*1,40</t>
  </si>
  <si>
    <t>pintura tipo sintetica en marcos , ventanas y persianas de 1,00mt*1,40mt Y 1,40*1,40</t>
  </si>
  <si>
    <t>Arreglo de presianas de madera existentes  1,40mtx1,40mt y1,0x1.40</t>
  </si>
  <si>
    <t>pintura tipo sintetica enA aberturas metálicas</t>
  </si>
  <si>
    <t>Cerramiento con mampara  (tipo durlock) en baño, oficina de informatica y pasillo central.</t>
  </si>
  <si>
    <t>Abertura para mampara de madera con marco metalico y hoja de cedro 0,80mts y  incluye herrajes.</t>
  </si>
  <si>
    <t>Abertura de dos hojas para mampara de durloc con marco metalico y hoja cedro de 0,80mts y complemento de 0,30mts inchluye (total 1,10mts)herrajes y pasadores inferiores y superiores.</t>
  </si>
  <si>
    <t>Contramarco moldurado de 7cm de madera en puertas y ventanas</t>
  </si>
  <si>
    <t>Desague Cloacal en baños</t>
  </si>
  <si>
    <t>Remosión de baños completo</t>
  </si>
  <si>
    <t>Remocion de revoque con presencia de humedad (moho) en paredes y cielo  raso.-(con retiro)toda el ala de Teodoro S. Mongelos</t>
  </si>
  <si>
    <t>Remosión de azulejos</t>
  </si>
  <si>
    <t>Remosión de pisos en baño</t>
  </si>
  <si>
    <t>Aislación de Baños</t>
  </si>
  <si>
    <t xml:space="preserve">Reposición de Azulejo de azulejo  </t>
  </si>
  <si>
    <t>g)- Caños de ventilación soldables 50mm  de 1m de alt.  c/ 2 tee  c/u.</t>
  </si>
  <si>
    <t>o) Piso de tipo porcelanato antidezlisante de uso expreso para exteriores. Aire y luz</t>
  </si>
  <si>
    <t>p)Zócalo de porcelanato  de 10cm de alto. En aire y luz</t>
  </si>
  <si>
    <t>b)Cambio de chapas ex Urgencias c/Chapas Termoacusticas</t>
  </si>
  <si>
    <t>a) De techo de Chapas ex Urgencia y 3er.Piso</t>
  </si>
  <si>
    <t>f) de Estruct metálica ex urgencias</t>
  </si>
  <si>
    <t>c)-Cielorraso de PVC de 6mm en  Techo ex Urgencias</t>
  </si>
  <si>
    <t>c) Canaleta en ex Urgencia cambio parc. arreglo y ajuste</t>
  </si>
  <si>
    <t xml:space="preserve">c) de revoque </t>
  </si>
  <si>
    <t>h)- Reposicion de revoque c/hidrofugo y tratamiento de fisuras con tela vinilica y pintura hidrofuga</t>
  </si>
  <si>
    <t>Reparaciones y reposiciones varias en Ex Urgencia  y techo del tercer piso  -Hospital de Trauma "Manuel Giagni"</t>
  </si>
  <si>
    <t>d)- Estructura metálica para chapas termoacusticas</t>
  </si>
  <si>
    <t>Arreglo 6° Piso Bloque B   -Hospital de Trauma "Manuel Giagni"</t>
  </si>
  <si>
    <t>Aislación Terraza y Junta de Dilatacion Bloque A y B en   -Hospital de Trauma "Manuel Giagni"</t>
  </si>
  <si>
    <t>Pintura con reparacion de revoque en mamposteria y cielo raso en terraza bloque B</t>
  </si>
  <si>
    <t>Deposito General</t>
  </si>
  <si>
    <t>Aislación terraza</t>
  </si>
  <si>
    <t>Sexto Piso</t>
  </si>
  <si>
    <t>Ex Urgencia</t>
  </si>
  <si>
    <t>Uti P</t>
  </si>
  <si>
    <t>Pediatria</t>
  </si>
  <si>
    <t>Traumatologia</t>
  </si>
  <si>
    <t>Obra Jose A. Flores</t>
  </si>
  <si>
    <t>falta contingencia</t>
  </si>
  <si>
    <t>Albergue</t>
  </si>
  <si>
    <t>2)MODIFICACIÓN PARA CONTINGENCIA</t>
  </si>
  <si>
    <t>AMPLIACIÓN BLOQUE JOSE A, FLORES</t>
  </si>
  <si>
    <t>ALBERGUE - FISIOTERAPIA - MANTENIMIENTO - COCINA - COMEDOR - DEPÓSITO -LAVANDERÍA - COSTURA</t>
  </si>
  <si>
    <t>PROPIETARIO:</t>
  </si>
  <si>
    <t>HOSPITAL DE TRAUMA</t>
  </si>
  <si>
    <t>UBICACIÓN</t>
  </si>
  <si>
    <t>AV. GRAL SANTOS ESQ. JOSE ASUNCIÓN FLORES</t>
  </si>
  <si>
    <t>AÑO</t>
  </si>
  <si>
    <t>COMPUTO Y PRESUPUESTO</t>
  </si>
  <si>
    <t>ITEM</t>
  </si>
  <si>
    <t>DESCRIPCIÓN</t>
  </si>
  <si>
    <t>CANT.</t>
  </si>
  <si>
    <t>PRECIO UNIT.</t>
  </si>
  <si>
    <t>PRECIO ITEM</t>
  </si>
  <si>
    <t>PRECIO RUBRO</t>
  </si>
  <si>
    <t>TRABAJOS PRELIMINARES</t>
  </si>
  <si>
    <t>Provisión y colocación de Cartelería y cintado de obra</t>
  </si>
  <si>
    <t>Gl</t>
  </si>
  <si>
    <t>Cerco metálico perimetral, provisorio con portones.</t>
  </si>
  <si>
    <t>Montaje y desmontaje de obrador: Deposito de Materiales, vestuario y  baños de personales. Oficina y Baño Residente y Fizcalización. (Tipo contenedor)</t>
  </si>
  <si>
    <t>Replanteo y marcación</t>
  </si>
  <si>
    <t>Servicio de Sanitario 4</t>
  </si>
  <si>
    <t>mens.</t>
  </si>
  <si>
    <t>Excavación para tubulones y retiro del material sobrante</t>
  </si>
  <si>
    <t>m3</t>
  </si>
  <si>
    <t>Relleno, compactación y nivelación del terreno</t>
  </si>
  <si>
    <t xml:space="preserve">DEMOLICIÓN (E DIFICIOS EXISTENTES) </t>
  </si>
  <si>
    <t xml:space="preserve">De techo con estructura metálica y chapas </t>
  </si>
  <si>
    <t>De Pilares metálicos</t>
  </si>
  <si>
    <t>De muros, incluye revoques y zócalos c/retiro de escombro</t>
  </si>
  <si>
    <t xml:space="preserve">De piso,incluye retiro de escombro. </t>
  </si>
  <si>
    <t>De cielorraso de P.V.C. con recuperación de material</t>
  </si>
  <si>
    <t>De cielorraso de madera con recuperación de material</t>
  </si>
  <si>
    <t>De baños e instalaciones con recuperación de artefactos</t>
  </si>
  <si>
    <t>De equipos de aire acondicionado, tipo split con recuperación y entrega previo mantenimiento</t>
  </si>
  <si>
    <t>De equipos de aire acondicionado, de ventana con recuperación y entrega previo mantenimiento</t>
  </si>
  <si>
    <t>De equipo de cortina de aire, con recuperación y entrega previo mantenimiento</t>
  </si>
  <si>
    <t>De ventiladores de techo, c/recuperación,previo mantenimiento</t>
  </si>
  <si>
    <t>De equipos fluorescentes, con recuperación 3x40 W</t>
  </si>
  <si>
    <t>De equipos fluorescentes, con recuperación 2x40 W</t>
  </si>
  <si>
    <t>De equipos fluorescentes, con recuperación 1x40 W</t>
  </si>
  <si>
    <t>De equipos fluorescentes, con recuperación 1x20 W</t>
  </si>
  <si>
    <t>Luces de emergencia con recuperación previa verificación de funcionamiento</t>
  </si>
  <si>
    <t>Mampara de Eucatex con recuperación de material</t>
  </si>
  <si>
    <t>Puerta ciega y vidriada de Eucatex con recuperación</t>
  </si>
  <si>
    <t>Marcos y puertas de madera con recuperación 0,60x2,10</t>
  </si>
  <si>
    <t>Marcos y puertas de madera con recuperación 0,80x2,10</t>
  </si>
  <si>
    <t>Marcos y puerta tablero 1,2*2,10</t>
  </si>
  <si>
    <t>Marcos y puertas de madera con recuperación 1,60x2,10</t>
  </si>
  <si>
    <t>Puerta metálica con recuperación 0,60x2,10</t>
  </si>
  <si>
    <t>Puerta metálica con recuperación 0,80x2,10</t>
  </si>
  <si>
    <t>Puerta metálica con recuperación 1,20x2,10</t>
  </si>
  <si>
    <t>Puerta metálica con recuperación 1,60x2,10</t>
  </si>
  <si>
    <t>Portón metálica con recuperación 1,10x2,10</t>
  </si>
  <si>
    <t>Balancin chico , con recuperación</t>
  </si>
  <si>
    <t>Balancin grande , con recuperación</t>
  </si>
  <si>
    <t>Servicio de contenedor</t>
  </si>
  <si>
    <t>ESTRUCTURA - Hormigón</t>
  </si>
  <si>
    <t>Pilote 45 cm de diám; longitud promedio 6,5 m (3 un p/pilar  in situ)</t>
  </si>
  <si>
    <t>Vigas de fundación. H200 in situ</t>
  </si>
  <si>
    <t>Pilares de Ho Ao. H200 in situ</t>
  </si>
  <si>
    <t>Vigas de Ho Ao. Ho Eo H250</t>
  </si>
  <si>
    <t xml:space="preserve">Losa de12 cm de espesor. </t>
  </si>
  <si>
    <t>En muro y base de losa ascensor</t>
  </si>
  <si>
    <t>Escaleras</t>
  </si>
  <si>
    <t>base de máquinas en lavandería</t>
  </si>
  <si>
    <t>ESTRUCTURA METÁLICA - TECHO</t>
  </si>
  <si>
    <t xml:space="preserve">Coberturas a un agua, de chapas termoacusticas, paneles longitudinales a medida autoportantes de 100mm, con encastre macho hembras, con tornillos autoroscables para fijación,colocados en la cresta, color blanco, sobre estructuras de acero. Estructuras con pintura de protección antióxidos y de terminación en color blanco.
Incluye:
-Chapa de cobertura termoacusticas tornillo autorrocables y chapas de terminación.
- Canaletas de alero, de chapas de acero galvanizadas, espesor BWG No 24, desarrollo 60 cm.
-Babetas de chapas de acero galvanizado, espesor BWG No 24, desarrollo 60 cm, para encuentro entre chapas y mampostería. </t>
  </si>
  <si>
    <t>Escalera marinera -acceso a techo de circulación vertical</t>
  </si>
  <si>
    <t>ALBAÑILERÍA</t>
  </si>
  <si>
    <t>MAMPOSTERÍA</t>
  </si>
  <si>
    <t>Mamposteria denivelación 0,30 m de ladrillos comunes. Incluye 23m de borde de galería . PB</t>
  </si>
  <si>
    <t>Mamposteria de elevación 0,20 m de ladrillos huecos - Varillas de 2x8 mm x 3 hiladas</t>
  </si>
  <si>
    <t>Mamposteria de elevación 0,15 m, de ladrillos comunes. Incluye envarillado.</t>
  </si>
  <si>
    <t>Mamposteria de elevación armada 0,15 m, de ladrillos comunes - Parapeto - Varillas de 2x8 mm cada dos hiladas</t>
  </si>
  <si>
    <t>AISLACIONES</t>
  </si>
  <si>
    <t>Aislación horizontal de mamposterías en U. Tipo Cajón.928,3ml</t>
  </si>
  <si>
    <t>Aislación de junta de dilatación, horizontal y vertical</t>
  </si>
  <si>
    <t>Aislación de losas transitables con membrana de 4mm</t>
  </si>
  <si>
    <t>Aislación de losa técnica</t>
  </si>
  <si>
    <t>Aislación de losa en baños</t>
  </si>
  <si>
    <t>REVOQUES Y REVEST.</t>
  </si>
  <si>
    <t>Revoque hidrófugo exterior de mamposterías a dos capas. Incluye tamafix o similar en encuentros de materiales diferentes</t>
  </si>
  <si>
    <t>Revoque hidrófugo exterior filtrado de mamposterías, exteriores y ductos.  Incluye tamafix o similar en encuentros de materiales diferentes.</t>
  </si>
  <si>
    <t>Revoque interior filtrado de mamposterias.  Incluye tamafix o similar en encuentros de materilaes diferentes.</t>
  </si>
  <si>
    <t>Revoque hidrófugo para base de pintura texturada</t>
  </si>
  <si>
    <t>Colocación de azulejos mate blanco de 30x60 Bold Ext. De piso a cielo raso para baños. H=2,7</t>
  </si>
  <si>
    <t>Colocación de mosaico de vidrio 20x20 mm, colores combinados, aristas con guardacantos de aluminio para baños y área  de cocina. Y lavadero</t>
  </si>
  <si>
    <t>Colocación de azulejos en lavamanos. Mate blanco 30x60 bold. 1x1,5 Para área de fisioterapia, depósito de alimentos,mantenimiento, en piletas, Kitchennette y cámaras. En cámaras alt. Total</t>
  </si>
  <si>
    <t>Colocación de revestimiento de piedra natural pulida en  muro de Ascensor y buña deacero de 1cm.</t>
  </si>
  <si>
    <t>Revestimiento de aristas hasta 2m de alt.  En todos los cantos vivos de pilares y muros</t>
  </si>
  <si>
    <t>CONTRAPISO Y PISO</t>
  </si>
  <si>
    <t xml:space="preserve">Contrapiso de hormigón de cascotes 10 cm incluye aislación </t>
  </si>
  <si>
    <t>Carpeta de cemento para base de pisos</t>
  </si>
  <si>
    <t>Carpeta hidrófuga sobre losa de H° y para base de aislación</t>
  </si>
  <si>
    <t>Colocación de zócalo de porcelanato primera selección - interior</t>
  </si>
  <si>
    <t xml:space="preserve">Colocación de zocalo porcelanato en 3er P primera selección </t>
  </si>
  <si>
    <t xml:space="preserve">Colocación de zocalo vinilico en fisioterapia </t>
  </si>
  <si>
    <t xml:space="preserve"> zocalo sanitario en depósitos</t>
  </si>
  <si>
    <t>Colocación de piso porcelanato antideslizante  - exterior . Terraza 3er p lavandería</t>
  </si>
  <si>
    <t xml:space="preserve">Colocación deplanchas graniticas - exterior.(escalones y bordes de galería) </t>
  </si>
  <si>
    <t>Piso granítico en descansos de escalera</t>
  </si>
  <si>
    <t>Piso de baño cerámica PI5 30x30</t>
  </si>
  <si>
    <t>Piso Vinilico alto transito de 2mm flexible en fisioterapa</t>
  </si>
  <si>
    <t xml:space="preserve">Piso alizado tipo laboratorio para la zona de taller,depósito de Patrimonio y terraza con acabado pulido y pintado con pintura especial y acabado con poliuretano. </t>
  </si>
  <si>
    <t>Piso de porcelanat0 P.B.1°,2°</t>
  </si>
  <si>
    <r>
      <rPr>
        <b/>
        <sz val="9"/>
        <color indexed="8"/>
        <rFont val="Calibri"/>
        <family val="2"/>
      </rPr>
      <t>TERMINACIONES: ABERTURAS</t>
    </r>
    <r>
      <rPr>
        <sz val="9"/>
        <color indexed="8"/>
        <rFont val="Calibri"/>
        <family val="2"/>
      </rPr>
      <t xml:space="preserve"> Incluye Cerrajería.,</t>
    </r>
    <r>
      <rPr>
        <b/>
        <sz val="9"/>
        <color indexed="8"/>
        <rFont val="Calibri"/>
        <family val="2"/>
      </rPr>
      <t xml:space="preserve"> CARPINTERÍA DE ALUMINIO, VIDRIOS Y CIELORRASOS,MESADS ETC</t>
    </r>
    <r>
      <rPr>
        <sz val="9"/>
        <color indexed="8"/>
        <rFont val="Calibri"/>
        <family val="2"/>
      </rPr>
      <t>. (Ver Planos de Detalles)</t>
    </r>
  </si>
  <si>
    <t>Cielorraso junta tomada tipo durlock, en baños pequeños</t>
  </si>
  <si>
    <t>Cielorraso de placas de yesocarton desmontable ignifugo,  con guias de aluminio P.B,1°,2° 3° y terraza</t>
  </si>
  <si>
    <t>Divisoria de Granito natural entre mingitorios, color en concordancia con el equipamiento y el azulejo 0,4*0,7</t>
  </si>
  <si>
    <t>Puerta TIPO 0,60mx2,10m 2 hojas vai ven de 0,30</t>
  </si>
  <si>
    <t>Puerta TIPO 0,60mx2,15m- 22 un. En baños</t>
  </si>
  <si>
    <t>Puerta TIPO 0,70mx2,15m</t>
  </si>
  <si>
    <t>Puerta TIPO 0,80mx2,15m</t>
  </si>
  <si>
    <t>Puerta TIPO 0,80mx2,15m dos hojas vai ven</t>
  </si>
  <si>
    <t>Puerta TIPO 1,30mx2,15m vai ven con mirilla de vidrio de 6mm</t>
  </si>
  <si>
    <t>Puerta TIPO 1,60mx2,10m con mirilla de vidrio de 6mm</t>
  </si>
  <si>
    <t>Puerta de vidrio templado, color fume, paño fijo lateral y superior y una hoja de abrir de 10 mm con freno hidraulico, manijones cromados de 30cm, con perfileria de aluminio anodizado color fosco: tubos de 60x.100mm con tubo de 50x50mm y perfil U. (1,50x2,65)</t>
  </si>
  <si>
    <t>Puerta de vidrio templado, color fume paño fijo superior y dos hoja de abrir de 10 mm con freno hidraulico, manijones cromados de 30cm, con perfileria de aluminio anodizado color fosco: tubos de 60x.100mm con tubo de 50x50mm y perfil U. (1,80x2,65)</t>
  </si>
  <si>
    <t>Puerta de vidrio templado, color fume paño fijo superior y laterales, dos hojas la dos hojas corredizas de 10 mm con manijones cromados de 30cm, con perfileria de aluminio anodizado color fosco: tubos de 60x.100mm con tubo de 50x50mm y perfil U. (2,50x2,65)</t>
  </si>
  <si>
    <t>Puerta de vidrio templado, color fume paño fijo superior y laterales, dos hojas la dos hojas corredizas de 10 mm con manijones cromados de 30cm, con perfileria de aluminio anodizado color fosco: tubos de 60x.100mm con tubo de 50x50mm y perfil U. (3,60x2,65)</t>
  </si>
  <si>
    <t>Ventana de vidrio templado,color fume, un paño fijo superior y  lateral, una hoja corrediza de 10 mm con cerradura cromada , con perfileria de aluminio anodizado color fosco: tubos de 60x.100mm con tubo de 50x50mm y perfil U. (2,15x1,50)</t>
  </si>
  <si>
    <t>Ventana de vidrio templado,color fume, un paño fijo lateral, una hoja corrediza de 10 mm con cerradura cromada , con perfileria de aluminio anodizado color fosco: tubos de 60x.100mm con tubo de 50x50mm y perfil U. (1,20x0,65)</t>
  </si>
  <si>
    <t>Ventana de vidrio templado,color fume, un paño fijo lateral, una hoja corrediza de 10 mm con cerradura cromada , con perfileria de aluminio anodizado color fosco: tubos de 60x.100mm con tubo de 50x50mm y perfil U. (1,80x0,65)</t>
  </si>
  <si>
    <t>Ventana de vidrio templado,color fume, un paño fijo lateral, una hoja corrediza de 10 mm con cerradura cromada , con perfileria de aluminio anodizado color fosco: tubos de 60x.100mm con tubo de 50x50mm y perfil U. (2,10x0,65)</t>
  </si>
  <si>
    <t>Ventana de vidrio templado,color fume, un paño fijo lateral, una hoja corrediza de 10 mm con cerradura cromada , con perfileria de aluminio anodizado color fosco: tubos de 60x.100mm con tubo de 50x50mm y perfil U. (3,00x0,65)</t>
  </si>
  <si>
    <t>Ventana de vidrio templado,color fume, un paño fijo lateral, una hoja corrediza de 10 mm con cerradura cromada , con perfileria de aluminio anodizado color fosco: tubos de 60x.100mm con tubo de 50x50mm y perfil U. (1,20x1,2)</t>
  </si>
  <si>
    <t>Ventana de vidrio templado,color fume,una hoja pr0yectante de 8 mm con pasador , con perfileria de aluminio anodizado color fosco: tubos de 60x.100mm con tubo de 50x50mm y perfil U. (0,60x0,65)</t>
  </si>
  <si>
    <t>Ventana de vidrio templado,color fume,una hoja pr0yectante de 8 mm con pasador , con perfileria de aluminio anodizado color fosco: tubos de 60x.100mm con tubo de 50x50mm y perfil U. (0,30x0,30)</t>
  </si>
  <si>
    <t>Espejo Float 3mm 0,5*0,7*22+2*1,5*3+3*2</t>
  </si>
  <si>
    <t xml:space="preserve">Mesada de granito gris, terminación pulido. Cocina Kitchenette. Con zocalo  y cortes de bacha :1,3*0,6 en PBy 1er P,1x0,60+1,15x0,6 en 1er P, 1,8*0,60 en 2° P y 0,80*0,6 en terraza. </t>
  </si>
  <si>
    <t>Mesada de granito gris, terminación pulido, con zócalos y cortes de bacha.En  Cocina y antecocina de P.B.=(4,4+2+3,7+1+0,8+3,5*3+4+3,6)*0,60 y enc ocina de albergue 1er P =(2,5+1,50)*0,60</t>
  </si>
  <si>
    <t>Puera de chapa doblada N°20 hojas de abrir (0,90x2,15)</t>
  </si>
  <si>
    <t>Puera de chapa doblada N°20 hojas de abrir (1,30x2,15) cortafuego</t>
  </si>
  <si>
    <t>Puera de chapa doblada N°20 hojas de abrir (1,50x2,15)</t>
  </si>
  <si>
    <t>Puera de chapa doblada N°20 hojas persianadas de abrir (1,50x2,15)</t>
  </si>
  <si>
    <t>Parasol de chapa doblada N°20  persianadas fijas, bastidor sujeto a muros (18,50x1-19,6x1-18x1,1-6x1-3x1)</t>
  </si>
  <si>
    <t>Marco de chapa doblada N°20</t>
  </si>
  <si>
    <t>Baranda metalica para escaleras</t>
  </si>
  <si>
    <t>Baranda metalica para rampa acceso a fisioterapia</t>
  </si>
  <si>
    <t>Puerta salida de emergencia con barra antipánico en Chapa doblada N°20</t>
  </si>
  <si>
    <t>Ventana de chapa doblada en Chapa N°20 persianada para ductos(0,30x0,40)</t>
  </si>
  <si>
    <t>Soporte tipo parrilla para apoyo de compresores de Aire Acondicionado en losa técnica (0,5*0,8)</t>
  </si>
  <si>
    <t>Cantoneras de chapa de acero inoxidable angulo de  1" x2m de altura</t>
  </si>
  <si>
    <t>baranda de acero inox. Caño de 3/4</t>
  </si>
  <si>
    <t>TERMINACIONES: PINTURAS</t>
  </si>
  <si>
    <t>Enduido en paredes exterior</t>
  </si>
  <si>
    <t>Enduido en paredes interior</t>
  </si>
  <si>
    <t>Enduído de cielorraso</t>
  </si>
  <si>
    <t>Latex acrílico semibrillo previo fijador acondicionador, pared exterior. Incluye los sectores con texturado.</t>
  </si>
  <si>
    <t>Latex acrílico semibrillo previo fijador acondicionador, pared interior</t>
  </si>
  <si>
    <t>Pintura muro texturado acrilico semi brillo</t>
  </si>
  <si>
    <t>Pintura cielorraso</t>
  </si>
  <si>
    <t>Pintura de aberturas con marcos (de madera y metálicas)</t>
  </si>
  <si>
    <t>Pintura de elementos metálicos</t>
  </si>
  <si>
    <t>DESAGUES</t>
  </si>
  <si>
    <t>DESAGÜES PLUVIALES</t>
  </si>
  <si>
    <t>Caño PVC 100 mm enterrado</t>
  </si>
  <si>
    <t>Caño PVC 150 mm enterrado</t>
  </si>
  <si>
    <t>Bajadas caño PVC 150 mm</t>
  </si>
  <si>
    <t xml:space="preserve">Registros pluviales 70x70 </t>
  </si>
  <si>
    <t>Registros pluviales 60x60</t>
  </si>
  <si>
    <t>DESAGÜE CLOACAL</t>
  </si>
  <si>
    <t>Caño PVC 200 PVC</t>
  </si>
  <si>
    <t>Caño PVC 1x100 PVC SR</t>
  </si>
  <si>
    <t>Caño PVC 1x150 PVC SR</t>
  </si>
  <si>
    <t>Caño PVC 75 PVC</t>
  </si>
  <si>
    <t>Caño PVC 50 PVC</t>
  </si>
  <si>
    <t>Caño PVC 40 PVC</t>
  </si>
  <si>
    <t>Registros 50x50 con tapa metálica</t>
  </si>
  <si>
    <t>Registros 60x60 con tapa metálica</t>
  </si>
  <si>
    <t>Desengrasador</t>
  </si>
  <si>
    <t>Baños en batería</t>
  </si>
  <si>
    <t>Baños de oficina sin ducha</t>
  </si>
  <si>
    <t>Piletas de Cocina</t>
  </si>
  <si>
    <t>Piletas de Lavar y lavamanos</t>
  </si>
  <si>
    <t>Piletas de Kitchenette</t>
  </si>
  <si>
    <t>Piletas de Taller</t>
  </si>
  <si>
    <t>INSTALACIONES SANITARIAS</t>
  </si>
  <si>
    <t>AGUA CORRIENTE</t>
  </si>
  <si>
    <t>Provisión e instalación de caños termofusion de 2"</t>
  </si>
  <si>
    <t>Provisión e instalación de caños termofusion de 1"</t>
  </si>
  <si>
    <t>Caño termofusion de 3/4"</t>
  </si>
  <si>
    <t>Caño termofusion de 1/2"</t>
  </si>
  <si>
    <t>Provisión e Instalación de Llave de Paso y Válvula de Retención Ø 2", en la los Medidores de ESSAP.</t>
  </si>
  <si>
    <t>Provisión e Instalación de Llave de Paso  Ø2"</t>
  </si>
  <si>
    <t>Provisión e Instalación de Llave de Paso  Ø 1"</t>
  </si>
  <si>
    <t>Provisión e Instalación de Llave de Paso  Ø 1/2"</t>
  </si>
  <si>
    <t>Provisión e Instalación de Llave de Paso  Ø 3/4"</t>
  </si>
  <si>
    <t xml:space="preserve">Provisión e instalación de cañerias de agua caliente y accesorios en baños </t>
  </si>
  <si>
    <t xml:space="preserve">Provisión e instalación de cañerias y accesorios para agua fría en baños </t>
  </si>
  <si>
    <t xml:space="preserve">Provisión e intalaciones cañerias y accesorios para agua fría en lavamano y  Piletas </t>
  </si>
  <si>
    <t>provisión e instalación de cañerías y accesorios para A.C. en piletas.</t>
  </si>
  <si>
    <t>Provisión y colocación de accesorios (codos,Tee,uniones,caños de conexión, etc.) en baños, cocina,kitchenette,lavadero y piletas.</t>
  </si>
  <si>
    <t>ARTEFACTOS SANITARIOS</t>
  </si>
  <si>
    <t>PLANTA BAJA</t>
  </si>
  <si>
    <t>Lavatorio con pedestal</t>
  </si>
  <si>
    <t>Inodoro con accesorios de sujección y tapa plastica</t>
  </si>
  <si>
    <t>Cisterna plástica y bajada embutida</t>
  </si>
  <si>
    <t xml:space="preserve">Mezcladora para lavatorio </t>
  </si>
  <si>
    <t>Mezcladora de ducha</t>
  </si>
  <si>
    <t>Mezcladora de cocina</t>
  </si>
  <si>
    <t>Canilla pico movil agua fria</t>
  </si>
  <si>
    <t>Canilla cromada para lavatorio</t>
  </si>
  <si>
    <t>Portarrollo</t>
  </si>
  <si>
    <t>Jabonera grande para ducha</t>
  </si>
  <si>
    <t>jab0nera chca</t>
  </si>
  <si>
    <t>Pileta de acero inoxidable para kitchenette bacha simple 80x55</t>
  </si>
  <si>
    <t>Pileta de acero inoxidable bacha rofunda de 50x50</t>
  </si>
  <si>
    <t>Dispensador de jabon líquido vestuario cocina</t>
  </si>
  <si>
    <t>Perchero doble</t>
  </si>
  <si>
    <t>Barra y accesorios para personas con capacidad diferente en inodoro y lavatorio</t>
  </si>
  <si>
    <t>Termocalefón de 80 litros</t>
  </si>
  <si>
    <t>PRIMER PISO</t>
  </si>
  <si>
    <t>Canilla pico movil agua fria para kitchenette</t>
  </si>
  <si>
    <t>Canilla cromada pico manguera para lavadero</t>
  </si>
  <si>
    <t>Pileta de acero inoxidable de sobreponer de 40x34</t>
  </si>
  <si>
    <t>Pileta de acero inoxidable para cocina bacha profund de 50x40x24</t>
  </si>
  <si>
    <t>Pileta de acero inoxidable para kitchenette bacha simple 1,20x50</t>
  </si>
  <si>
    <t>Dispensador de tohalla de papel</t>
  </si>
  <si>
    <t>Dispensador de jabon líquido</t>
  </si>
  <si>
    <t>Mingitorio con sifón</t>
  </si>
  <si>
    <t>Termocalefón de 40 litros</t>
  </si>
  <si>
    <t>SEGUNDO PISO</t>
  </si>
  <si>
    <t>TERCER PISO</t>
  </si>
  <si>
    <t>Pileta de acero inoxidable parazona taller pint. bacha profund de 50x40x24</t>
  </si>
  <si>
    <t>INSTALACIONES ELÉCTRICAS</t>
  </si>
  <si>
    <t xml:space="preserve">Colocación de Fluorescente de adosar 1X40 </t>
  </si>
  <si>
    <t>Colocacion de fluorescente de adosar de 2x40</t>
  </si>
  <si>
    <t>Boca de tomacorriente monofasica nomal</t>
  </si>
  <si>
    <t>Boca de tomacorriente con conexión a tierra</t>
  </si>
  <si>
    <t>Boca de toma de teléfono</t>
  </si>
  <si>
    <t>Bocas de luz</t>
  </si>
  <si>
    <t>Bocas de ventilador de techo</t>
  </si>
  <si>
    <t>Bocas de A°A°</t>
  </si>
  <si>
    <t>Montaje de artefactos fluorescentes</t>
  </si>
  <si>
    <t>Montaje de ventiladores de techo</t>
  </si>
  <si>
    <t>Montaje de A°A°</t>
  </si>
  <si>
    <t xml:space="preserve">Tablero seccional con llave tm y cableado. </t>
  </si>
  <si>
    <t>Tablero seccional con llave tm y cableado. Para montacargas</t>
  </si>
  <si>
    <t>Tablero seccional con llave tm y cableado. Para camara frigorifica</t>
  </si>
  <si>
    <t>Tablero de A°A° con llaves TM y cableado</t>
  </si>
  <si>
    <t>Tablero general de piso</t>
  </si>
  <si>
    <t>Alimentación tablero sec. TG6 (cable nyy 4X10 mm2).</t>
  </si>
  <si>
    <t>Alimentación para Aire Acondicionados.</t>
  </si>
  <si>
    <t>bocas de A°A°</t>
  </si>
  <si>
    <t>Alimentación para tablero de A°A°</t>
  </si>
  <si>
    <t>TERRAZA</t>
  </si>
  <si>
    <t>PROVOSIÓN Y COLOCACIÓN DE A°A°</t>
  </si>
  <si>
    <t>DE TIPO SPLIT</t>
  </si>
  <si>
    <t>DE 12000 BTU</t>
  </si>
  <si>
    <t>DE 18000 BTU</t>
  </si>
  <si>
    <t>DE 24000 BTU</t>
  </si>
  <si>
    <t>DE 36000 BTU</t>
  </si>
  <si>
    <t>DE 60000 BTU</t>
  </si>
  <si>
    <t>DE VENTANA</t>
  </si>
  <si>
    <t>PREVENCIÓN DE INCENDIO</t>
  </si>
  <si>
    <t xml:space="preserve">Provisión de Materiales y Mano de Obra para la Instalación de Tubería de Hierro Galvanizado Ø 4"    </t>
  </si>
  <si>
    <t xml:space="preserve">Provisión de Materiales y Mano de Obra para la Instalación de Tubería de Hierro Galvanizado Ø 3"    </t>
  </si>
  <si>
    <t xml:space="preserve">Provisión de Materiales y Mano de Obra para la Instalación de Tubería de Hierro Galvanizado Ø 2 1/2"   </t>
  </si>
  <si>
    <t>B.I.E. ( Caja Metálica con vidrio de 3 mm., Llave de Paso Globo a 45º, Adaptador Tipo STORZ, Manguera Ø 1 1/2" x 20 metros de Poliester y Pico Lanza Común).</t>
  </si>
  <si>
    <t>B.I.S. ( Boca de Incendio Siamesa Ø 3" )</t>
  </si>
  <si>
    <t>Alarma audiovisual con luz estroboscópica</t>
  </si>
  <si>
    <t>Detector de humo calor</t>
  </si>
  <si>
    <t>Detector termovelocimétrico</t>
  </si>
  <si>
    <t>Pulsador manual de comando</t>
  </si>
  <si>
    <t>Cartel salida de emergencia</t>
  </si>
  <si>
    <t>Luces de emergencia</t>
  </si>
  <si>
    <t>Extintor de incendios de polvo químico ABC 6 kg</t>
  </si>
  <si>
    <t>Extintor de incendios de polvo químico CO2  5kg</t>
  </si>
  <si>
    <t>Disyuntor diferencial - Tableros</t>
  </si>
  <si>
    <t>Panel central de control</t>
  </si>
  <si>
    <t>INSTALACIONES ESPECIALES: MONTACARGAS Y CÁMARAS FRIGORÍFICAS</t>
  </si>
  <si>
    <t>Instalación de equipos de Montacargas cabina de acero inoxidable y piso de piedra natural pulida</t>
  </si>
  <si>
    <t>Instalación y provisión  de equipos de CÁMARAS FRIGORÍFICAS, para verduras (8°) y carnes(-5°) respectivamente, paredes revestidas de acero inoxidable</t>
  </si>
  <si>
    <t>CARTELERÍA</t>
  </si>
  <si>
    <t>Carteles acrilicos con soportes para puerta de 10x30</t>
  </si>
  <si>
    <t>Carteles acrilicos reflectivo de 0,15x0,15</t>
  </si>
  <si>
    <t>Carteles acrilicos reflectivo de 0,30x0,25</t>
  </si>
  <si>
    <t>Carteles acrilicos con soportes de 20x40</t>
  </si>
  <si>
    <t xml:space="preserve">Carteles acrilicos sin soportes reflectivos 0,60x0,50 </t>
  </si>
  <si>
    <t>Carteles acrilicos sin soportes 0,6x0,5</t>
  </si>
  <si>
    <t>Carteles acrilicos con soportes de 0,80x0,70</t>
  </si>
  <si>
    <t>Carteles acrilicos con soportes de 210x0,70 para interior</t>
  </si>
  <si>
    <t>Carteles acrilicos con itras corporeas y con luces led 4,8X0,7</t>
  </si>
  <si>
    <t>Carteles acrilicos con itras corporeas y con luces led 4,0X0,7</t>
  </si>
  <si>
    <t>T O T A L</t>
  </si>
  <si>
    <t>a) De techo de Chapas</t>
  </si>
  <si>
    <t>c) de cielorraso de madera</t>
  </si>
  <si>
    <t>Un</t>
  </si>
  <si>
    <t>d) de pisos c/Contrapisos</t>
  </si>
  <si>
    <t>f) de revoques</t>
  </si>
  <si>
    <t>e) de azulejos</t>
  </si>
  <si>
    <t>a)Cambio de chapas y aislación con Isolan en Sala</t>
  </si>
  <si>
    <t>b)Cambio de chapas en Baño</t>
  </si>
  <si>
    <t>c)-Cielorraso de PVC de 6mm en  Sala</t>
  </si>
  <si>
    <t>d)- en Baños</t>
  </si>
  <si>
    <t>a) Canaleta de borde de techo de sala</t>
  </si>
  <si>
    <t>b) canaleta embutida techo sala</t>
  </si>
  <si>
    <t>c) Canaleta en techo de baño</t>
  </si>
  <si>
    <t>d)- Bocas metálicas de desague</t>
  </si>
  <si>
    <t>e)-Caños de 150 para desague en techo tinglado</t>
  </si>
  <si>
    <t>f)- Caño de bajada de 10 en bordes de galería</t>
  </si>
  <si>
    <t>Canaletas y Bajadas - desagues Cielorraso Pisos</t>
  </si>
  <si>
    <t>g)Desague Cloacal y Agua corriente en Baños</t>
  </si>
  <si>
    <t>h)Desague Cloacal y agua corriente en lavadero</t>
  </si>
  <si>
    <t>j)Caño de 150mm para desague pluvial en área de baño cerca de la cocina</t>
  </si>
  <si>
    <t>k)Camara de inspección cloacal de 50x50x0,80de prof, construida y revocada con mezcla hidrofuga. Con sistema de tapa dopble. Tapa superior  con marco metalico reforzado y base para piso con plancheulas tranversales de refuerzo.En baños</t>
  </si>
  <si>
    <t>l)Cielorraso de PVC Flexible bajo techo de chapas</t>
  </si>
  <si>
    <t>o) Piso de tipo porcelanato antidezlisante de uso expreso para exteriores. Y baños</t>
  </si>
  <si>
    <t>p) Piso de tipo porcelanato antidezlisante de uso interior</t>
  </si>
  <si>
    <t>q) Colocación de Azulejos</t>
  </si>
  <si>
    <t>r)Provosión e Instalación de artefactos de bañe</t>
  </si>
  <si>
    <t>s)Provisión e instalación de bacha de acero inox 1,2m</t>
  </si>
  <si>
    <t>Desague Cloacal en baños y agua corriente en bañs</t>
  </si>
  <si>
    <t xml:space="preserve">a)pintura de muros al latex </t>
  </si>
  <si>
    <t>Total</t>
  </si>
  <si>
    <t>SEGUNDO PISO BLOQUE "B" TRAUMATOLOGÍA INFECTADOS</t>
  </si>
  <si>
    <t>Arreglo 2° Piso Bloque B   -Hospital de Trauma "Manuel Giagni"</t>
  </si>
  <si>
    <t>Demolicion y reposición</t>
  </si>
  <si>
    <t>Mamparas y Cielorraso</t>
  </si>
  <si>
    <t>Mamparas de Yesocarton</t>
  </si>
  <si>
    <t>Pintura al latex interior  con enduhido en Mamparas</t>
  </si>
  <si>
    <t>Azulejos en baño en baño</t>
  </si>
  <si>
    <t>Aberturas</t>
  </si>
  <si>
    <t>Puertas de madera 1,10x2,1</t>
  </si>
  <si>
    <t>puertas de madera0,80*2,1</t>
  </si>
  <si>
    <t>Ventanas de 1,1*1,40</t>
  </si>
  <si>
    <t>Ventanas de 0,5*1,80</t>
  </si>
  <si>
    <t>Puerta ventana de 3*2,70</t>
  </si>
  <si>
    <t>Puerta ventana de 2,2*2,70</t>
  </si>
  <si>
    <t>Desague Cloacal y agua corriente en baños</t>
  </si>
  <si>
    <t>Reposición de artefactos de baño</t>
  </si>
  <si>
    <t>agarraderas en baños</t>
  </si>
  <si>
    <t xml:space="preserve">Gases Medicinales </t>
  </si>
  <si>
    <t>18 camas</t>
  </si>
  <si>
    <t>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</si>
</sst>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_ ;_ * \-#,##0_ ;_ * &quot;-&quot;_ ;_ @_ "/>
    <numFmt numFmtId="165" formatCode="_ * #,##0.00_ ;_ * \-#,##0.00_ ;_ * &quot;-&quot;??_ ;_ @_ "/>
    <numFmt numFmtId="166" formatCode="_ * #,##0_ ;_ * \-#,##0_ ;_ * &quot;-&quot;??_ ;_ @_ "/>
    <numFmt numFmtId="167" formatCode="_-* #,##0\ _€_-;\-* #,##0\ _€_-;_-* &quot;-&quot;??\ _€_-;_-@_-"/>
    <numFmt numFmtId="168" formatCode="_-* #,##0.00\ _€_-;\-* #,##0.00\ _€_-;_-* &quot;-&quot;??\ _€_-;_-@_-"/>
    <numFmt numFmtId="169" formatCode="_(* #,##0.0_);_(* \(#,##0.0\);_(* &quot;-&quot;??_);_(@_)"/>
    <numFmt numFmtId="170" formatCode="_(* #,##0_);_(* \(#,##0\);_(* &quot;-&quot;??_);_(@_)"/>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10"/>
      <name val="Calibri"/>
      <family val="2"/>
    </font>
    <font>
      <b/>
      <sz val="16"/>
      <name val="Arial"/>
      <family val="2"/>
    </font>
    <font>
      <b/>
      <sz val="11"/>
      <name val="Arial"/>
      <family val="2"/>
    </font>
    <font>
      <sz val="10"/>
      <name val="Arial"/>
      <family val="2"/>
    </font>
    <font>
      <b/>
      <sz val="14"/>
      <name val="Arial"/>
      <family val="2"/>
    </font>
    <font>
      <b/>
      <sz val="10"/>
      <name val="Arial"/>
      <family val="2"/>
    </font>
    <font>
      <b/>
      <sz val="10"/>
      <name val="Calibri"/>
      <family val="2"/>
    </font>
    <font>
      <b/>
      <sz val="16"/>
      <color indexed="8"/>
      <name val="Calibri"/>
      <family val="2"/>
    </font>
    <font>
      <sz val="11"/>
      <name val="Calibri"/>
      <family val="2"/>
      <scheme val="minor"/>
    </font>
    <font>
      <u/>
      <sz val="14"/>
      <name val="Calibri"/>
      <family val="2"/>
    </font>
    <font>
      <sz val="10"/>
      <name val="Calibri"/>
      <family val="2"/>
      <scheme val="minor"/>
    </font>
    <font>
      <b/>
      <sz val="11"/>
      <name val="Calibri"/>
      <family val="2"/>
      <scheme val="minor"/>
    </font>
    <font>
      <b/>
      <sz val="11"/>
      <name val="Calibri"/>
      <family val="2"/>
    </font>
    <font>
      <sz val="11"/>
      <color theme="3"/>
      <name val="Calibri"/>
      <family val="2"/>
      <scheme val="minor"/>
    </font>
    <font>
      <b/>
      <sz val="14"/>
      <name val="Calibri"/>
      <family val="2"/>
    </font>
    <font>
      <b/>
      <sz val="10"/>
      <name val="Calibri"/>
      <family val="2"/>
      <scheme val="minor"/>
    </font>
    <font>
      <b/>
      <sz val="10"/>
      <color theme="1"/>
      <name val="Calibri"/>
      <family val="2"/>
      <scheme val="minor"/>
    </font>
    <font>
      <b/>
      <sz val="10"/>
      <color indexed="8"/>
      <name val="Arial"/>
      <family val="2"/>
    </font>
    <font>
      <b/>
      <sz val="12"/>
      <name val="Arial"/>
      <family val="2"/>
    </font>
    <font>
      <b/>
      <i/>
      <sz val="10"/>
      <color theme="1"/>
      <name val="Arial"/>
      <family val="2"/>
    </font>
    <font>
      <i/>
      <sz val="10"/>
      <color theme="1"/>
      <name val="Arial"/>
      <family val="2"/>
    </font>
    <font>
      <b/>
      <i/>
      <sz val="10"/>
      <name val="Arial"/>
      <family val="2"/>
    </font>
    <font>
      <i/>
      <sz val="10"/>
      <name val="Arial"/>
      <family val="2"/>
    </font>
    <font>
      <sz val="14"/>
      <name val="Calibri"/>
      <family val="2"/>
    </font>
    <font>
      <sz val="11"/>
      <name val="Calibri"/>
      <family val="2"/>
    </font>
    <font>
      <b/>
      <sz val="18"/>
      <name val="Arial"/>
      <family val="2"/>
    </font>
    <font>
      <sz val="10"/>
      <color rgb="FFFF0000"/>
      <name val="Arial"/>
      <family val="2"/>
    </font>
    <font>
      <b/>
      <sz val="20"/>
      <name val="Arial"/>
      <family val="2"/>
    </font>
    <font>
      <b/>
      <sz val="12"/>
      <name val="Calibri"/>
      <family val="2"/>
      <scheme val="minor"/>
    </font>
    <font>
      <b/>
      <sz val="11"/>
      <color theme="1"/>
      <name val="Calibri"/>
      <family val="2"/>
      <scheme val="minor"/>
    </font>
    <font>
      <b/>
      <u/>
      <sz val="20"/>
      <color theme="1"/>
      <name val="Calibri"/>
      <family val="2"/>
    </font>
    <font>
      <b/>
      <u/>
      <sz val="14"/>
      <color theme="1"/>
      <name val="Calibri"/>
      <family val="2"/>
    </font>
    <font>
      <b/>
      <sz val="11"/>
      <color theme="1"/>
      <name val="Calibri"/>
      <family val="2"/>
    </font>
    <font>
      <b/>
      <sz val="8"/>
      <color theme="1"/>
      <name val="Calibri"/>
      <family val="2"/>
    </font>
    <font>
      <b/>
      <sz val="9"/>
      <color theme="1"/>
      <name val="Calibri"/>
      <family val="2"/>
    </font>
    <font>
      <sz val="11"/>
      <color theme="1"/>
      <name val="Calibri"/>
      <family val="2"/>
    </font>
    <font>
      <vertAlign val="superscript"/>
      <sz val="11"/>
      <color theme="1"/>
      <name val="Calibri"/>
      <family val="2"/>
    </font>
    <font>
      <b/>
      <sz val="14"/>
      <color theme="1"/>
      <name val="Calibri"/>
      <family val="2"/>
      <scheme val="minor"/>
    </font>
    <font>
      <sz val="11"/>
      <name val="MS Sans Serif"/>
      <family val="2"/>
    </font>
    <font>
      <b/>
      <sz val="14"/>
      <color theme="1"/>
      <name val="Calibri"/>
      <family val="2"/>
    </font>
    <font>
      <b/>
      <sz val="12"/>
      <color theme="1"/>
      <name val="Calibri"/>
      <family val="2"/>
    </font>
    <font>
      <sz val="10"/>
      <name val="Arial"/>
      <family val="2"/>
    </font>
    <font>
      <sz val="11"/>
      <color rgb="FFFF0000"/>
      <name val="Calibri"/>
      <family val="2"/>
    </font>
    <font>
      <sz val="10"/>
      <color theme="1"/>
      <name val="Calibri"/>
      <family val="2"/>
      <scheme val="minor"/>
    </font>
    <font>
      <sz val="9"/>
      <color theme="1"/>
      <name val="Calibri"/>
      <family val="2"/>
      <scheme val="minor"/>
    </font>
    <font>
      <sz val="8"/>
      <color theme="1"/>
      <name val="Calibri"/>
      <family val="2"/>
      <scheme val="minor"/>
    </font>
    <font>
      <sz val="9"/>
      <name val="Calibri"/>
      <family val="2"/>
      <scheme val="minor"/>
    </font>
    <font>
      <sz val="9"/>
      <color rgb="FFFF0000"/>
      <name val="Calibri"/>
      <family val="2"/>
      <scheme val="minor"/>
    </font>
    <font>
      <sz val="10"/>
      <color rgb="FFFF0000"/>
      <name val="Calibri"/>
      <family val="2"/>
      <scheme val="minor"/>
    </font>
    <font>
      <sz val="9"/>
      <color indexed="8"/>
      <name val="Calibri"/>
      <family val="2"/>
    </font>
    <font>
      <b/>
      <sz val="9"/>
      <color indexed="8"/>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indexed="13"/>
        <bgColor indexed="64"/>
      </patternFill>
    </fill>
    <fill>
      <patternFill patternType="solid">
        <fgColor rgb="FF92D050"/>
        <bgColor indexed="64"/>
      </patternFill>
    </fill>
    <fill>
      <patternFill patternType="solid">
        <fgColor theme="0"/>
        <bgColor indexed="64"/>
      </patternFill>
    </fill>
  </fills>
  <borders count="40">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s>
  <cellStyleXfs count="7">
    <xf numFmtId="0" fontId="0" fillId="0" borderId="0"/>
    <xf numFmtId="165" fontId="3" fillId="0" borderId="0" applyFont="0" applyFill="0" applyBorder="0" applyAlignment="0" applyProtection="0"/>
    <xf numFmtId="0" fontId="3" fillId="0" borderId="0" applyFont="0" applyFill="0" applyBorder="0" applyAlignment="0" applyProtection="0"/>
    <xf numFmtId="0" fontId="7" fillId="0" borderId="0"/>
    <xf numFmtId="0" fontId="3" fillId="0" borderId="0"/>
    <xf numFmtId="164" fontId="2" fillId="0" borderId="0" applyFont="0" applyFill="0" applyBorder="0" applyAlignment="0" applyProtection="0"/>
    <xf numFmtId="164" fontId="45" fillId="0" borderId="0" applyFont="0" applyFill="0" applyBorder="0" applyAlignment="0" applyProtection="0"/>
  </cellStyleXfs>
  <cellXfs count="374">
    <xf numFmtId="0" fontId="0" fillId="0" borderId="0" xfId="0"/>
    <xf numFmtId="0" fontId="7" fillId="0" borderId="0" xfId="0" applyFont="1" applyAlignment="1">
      <alignment vertical="center" wrapText="1"/>
    </xf>
    <xf numFmtId="49" fontId="3" fillId="0" borderId="10" xfId="0" applyNumberFormat="1" applyFont="1" applyBorder="1" applyAlignment="1">
      <alignment horizontal="left" vertical="center" wrapText="1"/>
    </xf>
    <xf numFmtId="0" fontId="3" fillId="0" borderId="10" xfId="0" applyFont="1" applyBorder="1" applyAlignment="1">
      <alignment horizontal="center" vertical="center" wrapText="1"/>
    </xf>
    <xf numFmtId="0" fontId="5" fillId="0" borderId="26" xfId="0" applyFont="1" applyBorder="1" applyAlignment="1">
      <alignment vertical="center" wrapText="1"/>
    </xf>
    <xf numFmtId="166" fontId="5" fillId="0" borderId="26" xfId="1" applyNumberFormat="1" applyFont="1" applyFill="1" applyBorder="1" applyAlignment="1">
      <alignment vertical="center" wrapText="1"/>
    </xf>
    <xf numFmtId="166" fontId="7" fillId="0" borderId="0" xfId="1" applyNumberFormat="1" applyFont="1" applyFill="1" applyBorder="1" applyAlignment="1">
      <alignment vertical="center" wrapText="1"/>
    </xf>
    <xf numFmtId="166" fontId="4" fillId="0" borderId="0" xfId="1" applyNumberFormat="1" applyFont="1" applyFill="1" applyBorder="1" applyAlignment="1">
      <alignment vertical="center" wrapText="1"/>
    </xf>
    <xf numFmtId="166" fontId="0" fillId="0" borderId="0" xfId="1" applyNumberFormat="1" applyFont="1" applyFill="1"/>
    <xf numFmtId="166" fontId="0" fillId="0" borderId="0" xfId="0" applyNumberFormat="1"/>
    <xf numFmtId="0" fontId="4" fillId="0" borderId="25" xfId="0" applyFont="1" applyBorder="1" applyAlignment="1">
      <alignment vertical="center" wrapText="1"/>
    </xf>
    <xf numFmtId="0" fontId="4" fillId="0" borderId="21" xfId="0" applyFont="1" applyBorder="1" applyAlignment="1">
      <alignment vertical="center" wrapText="1"/>
    </xf>
    <xf numFmtId="165" fontId="10" fillId="0" borderId="0" xfId="1" applyFont="1" applyFill="1" applyAlignment="1">
      <alignment vertical="center" wrapText="1"/>
    </xf>
    <xf numFmtId="0" fontId="4" fillId="0" borderId="10" xfId="0" applyFont="1" applyBorder="1" applyAlignment="1">
      <alignment horizontal="center"/>
    </xf>
    <xf numFmtId="3" fontId="4" fillId="0" borderId="10" xfId="0" applyNumberFormat="1" applyFont="1" applyBorder="1"/>
    <xf numFmtId="2" fontId="4" fillId="0" borderId="10" xfId="0" applyNumberFormat="1" applyFont="1" applyBorder="1" applyAlignment="1">
      <alignment horizontal="center"/>
    </xf>
    <xf numFmtId="11" fontId="14" fillId="0" borderId="10" xfId="0" applyNumberFormat="1" applyFont="1" applyBorder="1" applyAlignment="1">
      <alignment horizontal="left"/>
    </xf>
    <xf numFmtId="0" fontId="4" fillId="0" borderId="10" xfId="0" applyFont="1" applyBorder="1"/>
    <xf numFmtId="0" fontId="4" fillId="0" borderId="10" xfId="0" applyFont="1" applyBorder="1" applyAlignment="1">
      <alignment wrapText="1"/>
    </xf>
    <xf numFmtId="2" fontId="12" fillId="0" borderId="10" xfId="0" applyNumberFormat="1" applyFont="1" applyBorder="1"/>
    <xf numFmtId="0" fontId="14" fillId="0" borderId="10" xfId="0" applyFont="1" applyBorder="1"/>
    <xf numFmtId="2" fontId="14" fillId="0" borderId="10" xfId="0" applyNumberFormat="1" applyFont="1" applyBorder="1"/>
    <xf numFmtId="0" fontId="14" fillId="0" borderId="10" xfId="0" applyFont="1" applyBorder="1" applyAlignment="1">
      <alignment horizontal="center"/>
    </xf>
    <xf numFmtId="2" fontId="14" fillId="0" borderId="10" xfId="0" applyNumberFormat="1" applyFont="1" applyBorder="1" applyAlignment="1">
      <alignment horizontal="center"/>
    </xf>
    <xf numFmtId="0" fontId="14" fillId="0" borderId="10" xfId="0" applyFont="1" applyBorder="1" applyAlignment="1">
      <alignment wrapText="1"/>
    </xf>
    <xf numFmtId="0" fontId="16" fillId="0" borderId="10" xfId="0" applyFont="1" applyBorder="1"/>
    <xf numFmtId="2" fontId="12" fillId="0" borderId="10" xfId="0" applyNumberFormat="1" applyFont="1" applyBorder="1" applyAlignment="1">
      <alignment horizontal="center"/>
    </xf>
    <xf numFmtId="0" fontId="17" fillId="0" borderId="0" xfId="0" applyFont="1"/>
    <xf numFmtId="2" fontId="0" fillId="0" borderId="0" xfId="0" applyNumberFormat="1"/>
    <xf numFmtId="0" fontId="10" fillId="0" borderId="10" xfId="0" applyFont="1" applyBorder="1"/>
    <xf numFmtId="166" fontId="0" fillId="0" borderId="17" xfId="1" applyNumberFormat="1" applyFont="1" applyFill="1" applyBorder="1"/>
    <xf numFmtId="166" fontId="0" fillId="0" borderId="15" xfId="1" applyNumberFormat="1" applyFont="1" applyFill="1" applyBorder="1"/>
    <xf numFmtId="165" fontId="0" fillId="0" borderId="0" xfId="1" applyFont="1"/>
    <xf numFmtId="166" fontId="0" fillId="0" borderId="0" xfId="1" applyNumberFormat="1" applyFont="1"/>
    <xf numFmtId="166" fontId="4" fillId="0" borderId="11" xfId="1" applyNumberFormat="1" applyFont="1" applyFill="1" applyBorder="1"/>
    <xf numFmtId="166" fontId="14" fillId="0" borderId="11" xfId="1" applyNumberFormat="1" applyFont="1" applyFill="1" applyBorder="1"/>
    <xf numFmtId="166" fontId="17" fillId="0" borderId="0" xfId="1" applyNumberFormat="1" applyFont="1" applyBorder="1"/>
    <xf numFmtId="165" fontId="3" fillId="0" borderId="0" xfId="1" applyFont="1" applyFill="1" applyBorder="1" applyAlignment="1">
      <alignment horizontal="center" vertical="center" wrapText="1"/>
    </xf>
    <xf numFmtId="165" fontId="3" fillId="0" borderId="10" xfId="1" applyFont="1" applyFill="1" applyBorder="1" applyAlignment="1">
      <alignment horizontal="center" vertical="center" wrapText="1"/>
    </xf>
    <xf numFmtId="0" fontId="3" fillId="0" borderId="0" xfId="0" applyFont="1"/>
    <xf numFmtId="165" fontId="9" fillId="0" borderId="26" xfId="1" applyFont="1" applyFill="1" applyBorder="1" applyAlignment="1">
      <alignment horizontal="center" vertical="center" wrapText="1"/>
    </xf>
    <xf numFmtId="2" fontId="3" fillId="0" borderId="10" xfId="0" applyNumberFormat="1" applyFont="1" applyBorder="1" applyAlignment="1">
      <alignment horizontal="center"/>
    </xf>
    <xf numFmtId="166" fontId="3" fillId="0" borderId="10" xfId="1" applyNumberFormat="1" applyFont="1" applyFill="1" applyBorder="1" applyAlignment="1">
      <alignment horizontal="right" vertical="center" wrapText="1"/>
    </xf>
    <xf numFmtId="166" fontId="3" fillId="0" borderId="10" xfId="1" applyNumberFormat="1" applyFont="1" applyFill="1" applyBorder="1" applyAlignment="1">
      <alignment vertical="center" wrapText="1"/>
    </xf>
    <xf numFmtId="0" fontId="3" fillId="0" borderId="10" xfId="0" applyFont="1" applyBorder="1" applyAlignment="1">
      <alignment horizontal="left" vertical="center" wrapText="1"/>
    </xf>
    <xf numFmtId="165" fontId="3" fillId="0" borderId="10" xfId="1" applyFont="1" applyFill="1" applyBorder="1" applyAlignment="1">
      <alignment horizontal="right" vertical="center" wrapText="1"/>
    </xf>
    <xf numFmtId="165" fontId="3" fillId="0" borderId="10" xfId="1" applyFont="1" applyFill="1" applyBorder="1" applyAlignment="1">
      <alignment vertical="center" wrapText="1"/>
    </xf>
    <xf numFmtId="0" fontId="3" fillId="0" borderId="10" xfId="0" applyFont="1" applyBorder="1" applyAlignment="1">
      <alignment horizontal="center"/>
    </xf>
    <xf numFmtId="3" fontId="3" fillId="0" borderId="10" xfId="0" applyNumberFormat="1" applyFont="1" applyBorder="1"/>
    <xf numFmtId="0" fontId="3" fillId="0" borderId="10" xfId="0" applyFont="1" applyBorder="1" applyAlignment="1">
      <alignment vertical="center" wrapText="1"/>
    </xf>
    <xf numFmtId="0" fontId="3" fillId="0" borderId="10" xfId="0" applyFont="1" applyBorder="1" applyAlignment="1">
      <alignment wrapText="1"/>
    </xf>
    <xf numFmtId="0" fontId="3" fillId="0" borderId="14" xfId="0" applyFont="1" applyBorder="1" applyAlignment="1">
      <alignment horizontal="center" vertical="center" wrapText="1"/>
    </xf>
    <xf numFmtId="0" fontId="24" fillId="0" borderId="22" xfId="0" applyFont="1" applyBorder="1" applyAlignment="1">
      <alignment horizontal="center"/>
    </xf>
    <xf numFmtId="1" fontId="3" fillId="0" borderId="14" xfId="0" applyNumberFormat="1" applyFont="1" applyBorder="1" applyAlignment="1">
      <alignment horizontal="center" vertical="center" wrapText="1"/>
    </xf>
    <xf numFmtId="0" fontId="25" fillId="0" borderId="0" xfId="0" applyFont="1" applyAlignment="1">
      <alignment horizontal="center"/>
    </xf>
    <xf numFmtId="0" fontId="24" fillId="0" borderId="0" xfId="0" applyFont="1" applyAlignment="1">
      <alignment horizontal="center"/>
    </xf>
    <xf numFmtId="0" fontId="23" fillId="0" borderId="0" xfId="0" applyFont="1"/>
    <xf numFmtId="0" fontId="3" fillId="0" borderId="30" xfId="0" applyFont="1" applyBorder="1" applyAlignment="1">
      <alignment horizontal="left" vertical="center" wrapText="1"/>
    </xf>
    <xf numFmtId="0" fontId="3" fillId="0" borderId="30" xfId="0" applyFont="1" applyBorder="1" applyAlignment="1">
      <alignment horizontal="center" vertical="center" wrapText="1"/>
    </xf>
    <xf numFmtId="165" fontId="3" fillId="0" borderId="30" xfId="1" applyFont="1" applyFill="1" applyBorder="1" applyAlignment="1">
      <alignment horizontal="center" vertical="center" wrapText="1"/>
    </xf>
    <xf numFmtId="166" fontId="3" fillId="0" borderId="30" xfId="1" applyNumberFormat="1" applyFont="1" applyFill="1" applyBorder="1" applyAlignment="1">
      <alignment horizontal="right" vertical="center" wrapText="1"/>
    </xf>
    <xf numFmtId="166" fontId="3" fillId="0" borderId="30" xfId="1" applyNumberFormat="1" applyFont="1" applyFill="1" applyBorder="1" applyAlignment="1">
      <alignment vertical="center" wrapText="1"/>
    </xf>
    <xf numFmtId="166" fontId="3" fillId="0" borderId="0" xfId="1" applyNumberFormat="1" applyFont="1" applyFill="1" applyBorder="1" applyAlignment="1">
      <alignment vertical="center" wrapText="1"/>
    </xf>
    <xf numFmtId="0" fontId="25" fillId="0" borderId="24" xfId="0" applyFont="1" applyBorder="1" applyAlignment="1">
      <alignment horizontal="center"/>
    </xf>
    <xf numFmtId="0" fontId="9" fillId="0" borderId="26" xfId="0" applyFont="1" applyBorder="1" applyAlignment="1">
      <alignment vertical="center" wrapText="1"/>
    </xf>
    <xf numFmtId="0" fontId="3" fillId="0" borderId="0" xfId="0" applyFont="1" applyAlignment="1">
      <alignment wrapText="1"/>
    </xf>
    <xf numFmtId="4" fontId="3" fillId="0" borderId="10" xfId="0" applyNumberFormat="1" applyFont="1" applyBorder="1" applyAlignment="1">
      <alignment horizontal="center" vertical="center" wrapText="1"/>
    </xf>
    <xf numFmtId="1" fontId="3" fillId="0" borderId="10" xfId="3" applyNumberFormat="1" applyFont="1" applyBorder="1" applyAlignment="1">
      <alignment horizontal="center" vertical="center" wrapText="1"/>
    </xf>
    <xf numFmtId="2" fontId="26" fillId="0" borderId="24" xfId="0" applyNumberFormat="1" applyFont="1" applyBorder="1" applyAlignment="1">
      <alignment horizontal="center"/>
    </xf>
    <xf numFmtId="3" fontId="26" fillId="0" borderId="24" xfId="0" applyNumberFormat="1" applyFont="1" applyBorder="1"/>
    <xf numFmtId="166" fontId="26" fillId="0" borderId="10" xfId="1" applyNumberFormat="1" applyFont="1" applyFill="1" applyBorder="1" applyAlignment="1">
      <alignment horizontal="right" vertical="center" wrapText="1"/>
    </xf>
    <xf numFmtId="167" fontId="26" fillId="0" borderId="28" xfId="0" applyNumberFormat="1" applyFont="1" applyBorder="1"/>
    <xf numFmtId="0" fontId="24" fillId="0" borderId="19" xfId="0" applyFont="1" applyBorder="1" applyAlignment="1">
      <alignment horizontal="center"/>
    </xf>
    <xf numFmtId="0" fontId="25" fillId="0" borderId="19" xfId="0" applyFont="1" applyBorder="1" applyAlignment="1">
      <alignment horizontal="center"/>
    </xf>
    <xf numFmtId="0" fontId="3" fillId="0" borderId="19" xfId="0" applyFont="1" applyBorder="1" applyAlignment="1">
      <alignment horizontal="center" vertical="center" wrapText="1"/>
    </xf>
    <xf numFmtId="165" fontId="3" fillId="0" borderId="19" xfId="1" applyFont="1" applyFill="1" applyBorder="1" applyAlignment="1">
      <alignment horizontal="center" vertical="center" wrapText="1"/>
    </xf>
    <xf numFmtId="166" fontId="3" fillId="0" borderId="19" xfId="1" applyNumberFormat="1" applyFont="1" applyFill="1" applyBorder="1" applyAlignment="1">
      <alignment horizontal="right" vertical="center" wrapText="1"/>
    </xf>
    <xf numFmtId="166" fontId="3" fillId="0" borderId="18" xfId="1" applyNumberFormat="1" applyFont="1" applyFill="1" applyBorder="1" applyAlignment="1">
      <alignment vertical="center" wrapText="1"/>
    </xf>
    <xf numFmtId="166" fontId="3" fillId="0" borderId="18" xfId="1" applyNumberFormat="1" applyFont="1" applyFill="1" applyBorder="1" applyAlignment="1">
      <alignment horizontal="right" vertical="center" wrapText="1"/>
    </xf>
    <xf numFmtId="2" fontId="21" fillId="0" borderId="6" xfId="0" applyNumberFormat="1" applyFont="1" applyBorder="1" applyAlignment="1">
      <alignment horizontal="center" vertical="center" wrapText="1"/>
    </xf>
    <xf numFmtId="2" fontId="21" fillId="0" borderId="29" xfId="0" applyNumberFormat="1" applyFont="1" applyBorder="1" applyAlignment="1">
      <alignment horizontal="center" vertical="center" wrapText="1"/>
    </xf>
    <xf numFmtId="165" fontId="21" fillId="0" borderId="7" xfId="1" applyFont="1" applyFill="1" applyBorder="1" applyAlignment="1">
      <alignment horizontal="center" vertical="center" wrapText="1"/>
    </xf>
    <xf numFmtId="166" fontId="21" fillId="0" borderId="7" xfId="1" applyNumberFormat="1" applyFont="1" applyFill="1" applyBorder="1" applyAlignment="1">
      <alignment horizontal="center" vertical="center" wrapText="1"/>
    </xf>
    <xf numFmtId="166" fontId="21" fillId="0" borderId="29" xfId="1" applyNumberFormat="1" applyFont="1" applyFill="1" applyBorder="1" applyAlignment="1">
      <alignment vertical="center" wrapText="1"/>
    </xf>
    <xf numFmtId="166" fontId="21" fillId="0" borderId="29" xfId="1" applyNumberFormat="1" applyFont="1" applyFill="1" applyBorder="1" applyAlignment="1">
      <alignment horizontal="center" vertical="center" wrapText="1"/>
    </xf>
    <xf numFmtId="0" fontId="0" fillId="0" borderId="1" xfId="0" applyBorder="1" applyAlignment="1">
      <alignment vertical="center" wrapText="1"/>
    </xf>
    <xf numFmtId="0" fontId="25" fillId="0" borderId="27" xfId="0" applyFont="1" applyBorder="1" applyAlignment="1">
      <alignment horizontal="center" vertical="center"/>
    </xf>
    <xf numFmtId="0" fontId="25" fillId="0" borderId="10" xfId="0" applyFont="1" applyBorder="1" applyAlignment="1">
      <alignment horizontal="center" vertical="center"/>
    </xf>
    <xf numFmtId="0" fontId="3" fillId="0" borderId="10" xfId="0" applyFont="1" applyBorder="1" applyAlignment="1">
      <alignment vertical="center"/>
    </xf>
    <xf numFmtId="0" fontId="0" fillId="0" borderId="0" xfId="0" applyAlignment="1">
      <alignment vertical="center"/>
    </xf>
    <xf numFmtId="0" fontId="20" fillId="0" borderId="32" xfId="0" applyFont="1" applyBorder="1" applyAlignment="1">
      <alignment horizontal="center"/>
    </xf>
    <xf numFmtId="2" fontId="20" fillId="0" borderId="32" xfId="0" applyNumberFormat="1" applyFont="1" applyBorder="1" applyAlignment="1">
      <alignment horizontal="center"/>
    </xf>
    <xf numFmtId="166" fontId="20" fillId="0" borderId="32" xfId="1" applyNumberFormat="1" applyFont="1" applyFill="1" applyBorder="1" applyAlignment="1">
      <alignment horizontal="center"/>
    </xf>
    <xf numFmtId="0" fontId="20" fillId="0" borderId="32" xfId="0" applyFont="1" applyBorder="1" applyAlignment="1">
      <alignment horizontal="center" wrapText="1"/>
    </xf>
    <xf numFmtId="0" fontId="10" fillId="0" borderId="14" xfId="0" applyFont="1" applyBorder="1"/>
    <xf numFmtId="4" fontId="20" fillId="0" borderId="32" xfId="0" applyNumberFormat="1" applyFont="1" applyBorder="1" applyAlignment="1">
      <alignment horizontal="center" wrapText="1"/>
    </xf>
    <xf numFmtId="4" fontId="20" fillId="0" borderId="33" xfId="0" applyNumberFormat="1" applyFont="1" applyBorder="1" applyAlignment="1">
      <alignment horizontal="center" wrapText="1"/>
    </xf>
    <xf numFmtId="0" fontId="15" fillId="0" borderId="14" xfId="0" applyFont="1" applyBorder="1"/>
    <xf numFmtId="0" fontId="12" fillId="0" borderId="10" xfId="0" applyFont="1" applyBorder="1" applyAlignment="1">
      <alignment horizontal="center"/>
    </xf>
    <xf numFmtId="0" fontId="16" fillId="0" borderId="14" xfId="0" applyFont="1" applyBorder="1"/>
    <xf numFmtId="0" fontId="20" fillId="0" borderId="31" xfId="0" applyFont="1" applyBorder="1" applyAlignment="1">
      <alignment horizontal="center" vertical="center"/>
    </xf>
    <xf numFmtId="0" fontId="4" fillId="0" borderId="9" xfId="0" applyFont="1" applyBorder="1" applyAlignment="1">
      <alignment horizontal="center" vertical="center"/>
    </xf>
    <xf numFmtId="0" fontId="10" fillId="0" borderId="9" xfId="0" applyFont="1" applyBorder="1" applyAlignment="1">
      <alignment horizontal="center" vertical="center"/>
    </xf>
    <xf numFmtId="0" fontId="12" fillId="0" borderId="9" xfId="0" applyFont="1" applyBorder="1" applyAlignment="1">
      <alignment horizontal="center" vertical="center"/>
    </xf>
    <xf numFmtId="0" fontId="15" fillId="0" borderId="9" xfId="0" applyFont="1" applyBorder="1" applyAlignment="1">
      <alignment horizontal="center" vertical="center"/>
    </xf>
    <xf numFmtId="0" fontId="16" fillId="0" borderId="9" xfId="0" applyFont="1"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28" fillId="0" borderId="9" xfId="0" applyFont="1" applyBorder="1" applyAlignment="1">
      <alignment horizontal="center" vertical="center"/>
    </xf>
    <xf numFmtId="0" fontId="9" fillId="0" borderId="2" xfId="0" applyFont="1" applyBorder="1" applyAlignment="1">
      <alignment horizontal="center" vertical="center" wrapText="1"/>
    </xf>
    <xf numFmtId="4" fontId="7" fillId="0" borderId="1" xfId="1" applyNumberFormat="1" applyFont="1" applyFill="1" applyBorder="1" applyAlignment="1">
      <alignment vertical="center" wrapText="1"/>
    </xf>
    <xf numFmtId="4" fontId="4" fillId="0" borderId="3" xfId="1" applyNumberFormat="1" applyFont="1" applyFill="1" applyBorder="1" applyAlignment="1">
      <alignment vertical="center" wrapText="1"/>
    </xf>
    <xf numFmtId="166" fontId="12" fillId="0" borderId="11" xfId="1" applyNumberFormat="1" applyFont="1" applyFill="1" applyBorder="1"/>
    <xf numFmtId="166" fontId="16" fillId="0" borderId="11" xfId="1" applyNumberFormat="1" applyFont="1" applyFill="1" applyBorder="1"/>
    <xf numFmtId="166" fontId="3" fillId="0" borderId="1" xfId="1" applyNumberFormat="1" applyFont="1" applyFill="1" applyBorder="1" applyAlignment="1">
      <alignment horizontal="center" vertical="center" wrapText="1"/>
    </xf>
    <xf numFmtId="166" fontId="4" fillId="0" borderId="10" xfId="0" applyNumberFormat="1" applyFont="1" applyBorder="1"/>
    <xf numFmtId="166" fontId="17" fillId="0" borderId="0" xfId="0" applyNumberFormat="1" applyFont="1"/>
    <xf numFmtId="166" fontId="3" fillId="0" borderId="10" xfId="1" applyNumberFormat="1" applyFont="1" applyBorder="1"/>
    <xf numFmtId="0" fontId="3" fillId="0" borderId="16" xfId="0" applyFont="1" applyBorder="1" applyAlignment="1">
      <alignment horizontal="center" vertical="center" wrapText="1"/>
    </xf>
    <xf numFmtId="0" fontId="3" fillId="0" borderId="16" xfId="0" applyFont="1" applyBorder="1" applyAlignment="1">
      <alignment vertical="center" wrapText="1"/>
    </xf>
    <xf numFmtId="165" fontId="3" fillId="0" borderId="16" xfId="1" applyFont="1" applyFill="1" applyBorder="1" applyAlignment="1">
      <alignment horizontal="center" vertical="center" wrapText="1"/>
    </xf>
    <xf numFmtId="165" fontId="3" fillId="0" borderId="16" xfId="1" applyFont="1" applyFill="1" applyBorder="1" applyAlignment="1">
      <alignment horizontal="right" vertical="center" wrapText="1"/>
    </xf>
    <xf numFmtId="165" fontId="3" fillId="0" borderId="16" xfId="1" applyFont="1" applyFill="1" applyBorder="1" applyAlignment="1">
      <alignment vertical="center" wrapText="1"/>
    </xf>
    <xf numFmtId="166" fontId="3" fillId="0" borderId="16" xfId="1" applyNumberFormat="1" applyFont="1" applyFill="1" applyBorder="1" applyAlignment="1">
      <alignment horizontal="right" vertical="center" wrapText="1"/>
    </xf>
    <xf numFmtId="166" fontId="22" fillId="0" borderId="8" xfId="1" applyNumberFormat="1" applyFont="1" applyFill="1" applyBorder="1"/>
    <xf numFmtId="0" fontId="3" fillId="0" borderId="0" xfId="0" applyFont="1" applyAlignment="1">
      <alignment vertical="center" wrapText="1"/>
    </xf>
    <xf numFmtId="0" fontId="3" fillId="0" borderId="14" xfId="0" applyFont="1" applyBorder="1" applyAlignment="1">
      <alignment horizontal="center" vertical="center"/>
    </xf>
    <xf numFmtId="3" fontId="4" fillId="0" borderId="3" xfId="1" applyNumberFormat="1" applyFont="1" applyFill="1" applyBorder="1" applyAlignment="1">
      <alignment vertical="center" wrapText="1"/>
    </xf>
    <xf numFmtId="3" fontId="0" fillId="0" borderId="0" xfId="0" applyNumberFormat="1"/>
    <xf numFmtId="0" fontId="0" fillId="0" borderId="4" xfId="0" applyBorder="1"/>
    <xf numFmtId="165" fontId="0" fillId="0" borderId="0" xfId="1" applyFont="1" applyBorder="1"/>
    <xf numFmtId="3" fontId="0" fillId="0" borderId="5" xfId="0" applyNumberFormat="1" applyBorder="1"/>
    <xf numFmtId="0" fontId="0" fillId="0" borderId="2" xfId="0" applyBorder="1"/>
    <xf numFmtId="0" fontId="0" fillId="0" borderId="1" xfId="0" applyBorder="1"/>
    <xf numFmtId="165" fontId="0" fillId="0" borderId="1" xfId="1" applyFont="1" applyBorder="1"/>
    <xf numFmtId="3" fontId="0" fillId="0" borderId="3" xfId="0" applyNumberFormat="1" applyBorder="1"/>
    <xf numFmtId="0" fontId="4" fillId="0" borderId="0" xfId="0" applyFont="1" applyAlignment="1">
      <alignment vertical="center" wrapText="1"/>
    </xf>
    <xf numFmtId="0" fontId="5" fillId="0" borderId="0" xfId="0" applyFont="1" applyAlignment="1">
      <alignment vertical="center" wrapText="1"/>
    </xf>
    <xf numFmtId="165" fontId="5" fillId="0" borderId="0" xfId="1" applyFont="1" applyFill="1" applyBorder="1" applyAlignment="1">
      <alignment horizontal="center" vertical="center" wrapText="1"/>
    </xf>
    <xf numFmtId="3" fontId="30" fillId="0" borderId="5" xfId="0" applyNumberFormat="1" applyFont="1" applyBorder="1"/>
    <xf numFmtId="0" fontId="6" fillId="0" borderId="0" xfId="0" applyFont="1" applyAlignment="1">
      <alignment horizontal="center" vertical="center" wrapText="1"/>
    </xf>
    <xf numFmtId="3" fontId="8" fillId="0" borderId="0" xfId="0" applyNumberFormat="1" applyFont="1" applyAlignment="1">
      <alignment horizontal="right" vertical="center" wrapText="1"/>
    </xf>
    <xf numFmtId="0" fontId="29" fillId="0" borderId="0" xfId="0" applyFont="1" applyAlignment="1">
      <alignment vertical="center" wrapText="1"/>
    </xf>
    <xf numFmtId="165" fontId="29" fillId="0" borderId="0" xfId="1" applyFont="1" applyFill="1" applyBorder="1" applyAlignment="1">
      <alignment horizontal="center" vertical="center" wrapText="1"/>
    </xf>
    <xf numFmtId="166" fontId="29" fillId="0" borderId="0" xfId="1" applyNumberFormat="1" applyFont="1" applyFill="1" applyBorder="1" applyAlignment="1">
      <alignment vertical="center" wrapText="1"/>
    </xf>
    <xf numFmtId="166" fontId="31" fillId="0" borderId="0" xfId="0" applyNumberFormat="1" applyFont="1" applyAlignment="1">
      <alignment horizontal="center" vertical="center" wrapText="1"/>
    </xf>
    <xf numFmtId="166" fontId="29" fillId="0" borderId="0" xfId="0" applyNumberFormat="1" applyFont="1" applyAlignment="1">
      <alignment horizontal="center" vertical="center" wrapText="1"/>
    </xf>
    <xf numFmtId="166" fontId="5" fillId="0" borderId="0" xfId="1" applyNumberFormat="1" applyFont="1" applyFill="1" applyBorder="1" applyAlignment="1">
      <alignment vertical="center" wrapText="1"/>
    </xf>
    <xf numFmtId="166" fontId="8" fillId="0" borderId="0" xfId="0" applyNumberFormat="1" applyFont="1" applyAlignment="1">
      <alignment horizontal="right" vertical="center" wrapText="1"/>
    </xf>
    <xf numFmtId="0" fontId="14" fillId="0" borderId="4" xfId="0" applyFont="1" applyBorder="1"/>
    <xf numFmtId="3" fontId="32" fillId="0" borderId="11" xfId="1" applyNumberFormat="1" applyFont="1" applyBorder="1"/>
    <xf numFmtId="0" fontId="0" fillId="0" borderId="0" xfId="0" applyAlignment="1">
      <alignment horizontal="left"/>
    </xf>
    <xf numFmtId="168" fontId="0" fillId="0" borderId="0" xfId="1" applyNumberFormat="1" applyFont="1"/>
    <xf numFmtId="167" fontId="0" fillId="0" borderId="0" xfId="1" applyNumberFormat="1" applyFont="1"/>
    <xf numFmtId="168" fontId="0" fillId="0" borderId="0" xfId="1" applyNumberFormat="1" applyFont="1" applyBorder="1"/>
    <xf numFmtId="167" fontId="0" fillId="0" borderId="0" xfId="1" applyNumberFormat="1" applyFont="1" applyBorder="1"/>
    <xf numFmtId="0" fontId="36" fillId="0" borderId="34" xfId="0" applyFont="1" applyBorder="1"/>
    <xf numFmtId="0" fontId="36" fillId="0" borderId="35" xfId="0" applyFont="1" applyBorder="1" applyAlignment="1">
      <alignment horizontal="left"/>
    </xf>
    <xf numFmtId="0" fontId="37" fillId="0" borderId="35" xfId="0" applyFont="1" applyBorder="1" applyAlignment="1">
      <alignment horizontal="center"/>
    </xf>
    <xf numFmtId="168" fontId="38" fillId="0" borderId="35" xfId="1" applyNumberFormat="1" applyFont="1" applyBorder="1" applyAlignment="1">
      <alignment horizontal="center"/>
    </xf>
    <xf numFmtId="167" fontId="38" fillId="0" borderId="36" xfId="1" applyNumberFormat="1" applyFont="1" applyBorder="1" applyAlignment="1">
      <alignment horizontal="center"/>
    </xf>
    <xf numFmtId="0" fontId="38" fillId="0" borderId="30" xfId="0" applyFont="1" applyBorder="1" applyAlignment="1">
      <alignment horizontal="center"/>
    </xf>
    <xf numFmtId="168" fontId="38" fillId="0" borderId="30" xfId="1" applyNumberFormat="1" applyFont="1" applyBorder="1" applyAlignment="1">
      <alignment horizontal="center"/>
    </xf>
    <xf numFmtId="167" fontId="38" fillId="0" borderId="13" xfId="1" applyNumberFormat="1" applyFont="1" applyBorder="1" applyAlignment="1">
      <alignment horizontal="center"/>
    </xf>
    <xf numFmtId="0" fontId="36" fillId="0" borderId="12" xfId="0" applyFont="1" applyBorder="1"/>
    <xf numFmtId="0" fontId="36" fillId="0" borderId="30" xfId="0" applyFont="1" applyBorder="1" applyAlignment="1">
      <alignment horizontal="left"/>
    </xf>
    <xf numFmtId="0" fontId="39" fillId="0" borderId="30" xfId="0" applyFont="1" applyBorder="1" applyAlignment="1">
      <alignment horizontal="left"/>
    </xf>
    <xf numFmtId="0" fontId="39" fillId="0" borderId="30" xfId="0" applyFont="1" applyBorder="1" applyAlignment="1">
      <alignment horizontal="center"/>
    </xf>
    <xf numFmtId="167" fontId="39" fillId="0" borderId="13" xfId="1" applyNumberFormat="1" applyFont="1" applyBorder="1" applyAlignment="1">
      <alignment horizontal="center"/>
    </xf>
    <xf numFmtId="0" fontId="36" fillId="0" borderId="9" xfId="0" applyFont="1" applyBorder="1"/>
    <xf numFmtId="0" fontId="36" fillId="0" borderId="10" xfId="0" applyFont="1" applyBorder="1" applyAlignment="1">
      <alignment horizontal="left"/>
    </xf>
    <xf numFmtId="0" fontId="0" fillId="0" borderId="10" xfId="0" applyBorder="1"/>
    <xf numFmtId="0" fontId="0" fillId="0" borderId="9" xfId="0" applyBorder="1"/>
    <xf numFmtId="11" fontId="0" fillId="0" borderId="10" xfId="0" applyNumberFormat="1" applyBorder="1" applyAlignment="1">
      <alignment horizontal="center"/>
    </xf>
    <xf numFmtId="2" fontId="0" fillId="0" borderId="10" xfId="0" applyNumberFormat="1" applyBorder="1"/>
    <xf numFmtId="11" fontId="0" fillId="0" borderId="10" xfId="0" applyNumberFormat="1" applyBorder="1" applyAlignment="1">
      <alignment horizontal="left"/>
    </xf>
    <xf numFmtId="11" fontId="33" fillId="0" borderId="10" xfId="0" applyNumberFormat="1" applyFont="1" applyBorder="1" applyAlignment="1">
      <alignment horizontal="center"/>
    </xf>
    <xf numFmtId="11" fontId="33" fillId="0" borderId="10" xfId="0" applyNumberFormat="1" applyFont="1" applyBorder="1" applyAlignment="1">
      <alignment horizontal="left"/>
    </xf>
    <xf numFmtId="11" fontId="0" fillId="0" borderId="10" xfId="0" applyNumberFormat="1" applyBorder="1" applyAlignment="1">
      <alignment horizontal="left" wrapText="1"/>
    </xf>
    <xf numFmtId="11" fontId="0" fillId="0" borderId="16" xfId="0" applyNumberFormat="1" applyBorder="1" applyAlignment="1">
      <alignment horizontal="center"/>
    </xf>
    <xf numFmtId="11" fontId="0" fillId="0" borderId="16" xfId="0" applyNumberFormat="1" applyBorder="1" applyAlignment="1">
      <alignment horizontal="left"/>
    </xf>
    <xf numFmtId="2" fontId="0" fillId="0" borderId="16" xfId="0" applyNumberFormat="1" applyBorder="1"/>
    <xf numFmtId="167" fontId="44" fillId="3" borderId="29" xfId="0" applyNumberFormat="1" applyFont="1" applyFill="1" applyBorder="1"/>
    <xf numFmtId="167" fontId="0" fillId="0" borderId="0" xfId="0" applyNumberFormat="1"/>
    <xf numFmtId="167" fontId="39" fillId="0" borderId="30" xfId="1" applyNumberFormat="1" applyFont="1" applyBorder="1" applyAlignment="1">
      <alignment horizontal="center"/>
    </xf>
    <xf numFmtId="11" fontId="41" fillId="0" borderId="22" xfId="0" applyNumberFormat="1" applyFont="1" applyBorder="1" applyAlignment="1">
      <alignment horizontal="center"/>
    </xf>
    <xf numFmtId="11" fontId="41" fillId="0" borderId="24" xfId="0" applyNumberFormat="1" applyFont="1" applyBorder="1" applyAlignment="1">
      <alignment horizontal="center"/>
    </xf>
    <xf numFmtId="11" fontId="41" fillId="0" borderId="14" xfId="0" applyNumberFormat="1" applyFont="1" applyBorder="1" applyAlignment="1">
      <alignment horizontal="center"/>
    </xf>
    <xf numFmtId="167" fontId="0" fillId="0" borderId="10" xfId="1" applyNumberFormat="1" applyFont="1" applyBorder="1"/>
    <xf numFmtId="167" fontId="0" fillId="0" borderId="10" xfId="0" applyNumberFormat="1" applyBorder="1"/>
    <xf numFmtId="167" fontId="0" fillId="0" borderId="16" xfId="0" applyNumberFormat="1" applyBorder="1"/>
    <xf numFmtId="11" fontId="3" fillId="0" borderId="10" xfId="0" applyNumberFormat="1" applyFont="1" applyBorder="1" applyAlignment="1">
      <alignment horizontal="center"/>
    </xf>
    <xf numFmtId="11" fontId="3" fillId="0" borderId="10" xfId="0" applyNumberFormat="1" applyFont="1" applyBorder="1" applyAlignment="1">
      <alignment horizontal="left"/>
    </xf>
    <xf numFmtId="11" fontId="3" fillId="0" borderId="10" xfId="0" applyNumberFormat="1" applyFont="1" applyBorder="1" applyAlignment="1">
      <alignment horizontal="left" wrapText="1"/>
    </xf>
    <xf numFmtId="2" fontId="3" fillId="0" borderId="10" xfId="0" applyNumberFormat="1" applyFont="1" applyBorder="1"/>
    <xf numFmtId="167" fontId="3" fillId="0" borderId="10" xfId="0" applyNumberFormat="1" applyFont="1" applyBorder="1"/>
    <xf numFmtId="11" fontId="0" fillId="0" borderId="22" xfId="0" applyNumberFormat="1" applyBorder="1" applyAlignment="1">
      <alignment horizontal="center"/>
    </xf>
    <xf numFmtId="11" fontId="0" fillId="0" borderId="24" xfId="0" applyNumberFormat="1" applyBorder="1" applyAlignment="1">
      <alignment horizontal="left"/>
    </xf>
    <xf numFmtId="11" fontId="0" fillId="0" borderId="24" xfId="0" applyNumberFormat="1" applyBorder="1" applyAlignment="1">
      <alignment horizontal="center"/>
    </xf>
    <xf numFmtId="2" fontId="0" fillId="0" borderId="14" xfId="0" applyNumberFormat="1" applyBorder="1"/>
    <xf numFmtId="167" fontId="39" fillId="0" borderId="13" xfId="1" applyNumberFormat="1" applyFont="1" applyFill="1" applyBorder="1" applyAlignment="1">
      <alignment horizontal="center"/>
    </xf>
    <xf numFmtId="167" fontId="28" fillId="0" borderId="13" xfId="1" applyNumberFormat="1" applyFont="1" applyFill="1" applyBorder="1" applyAlignment="1">
      <alignment horizontal="center"/>
    </xf>
    <xf numFmtId="0" fontId="18" fillId="0" borderId="10"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left"/>
    </xf>
    <xf numFmtId="164" fontId="13" fillId="0" borderId="10" xfId="6" applyFont="1" applyBorder="1" applyAlignment="1">
      <alignment horizontal="center"/>
    </xf>
    <xf numFmtId="164" fontId="27" fillId="0" borderId="10" xfId="6" applyFont="1" applyBorder="1" applyAlignment="1">
      <alignment horizontal="center"/>
    </xf>
    <xf numFmtId="164" fontId="13" fillId="0" borderId="10" xfId="0" applyNumberFormat="1" applyFont="1" applyBorder="1" applyAlignment="1">
      <alignment horizontal="center"/>
    </xf>
    <xf numFmtId="0" fontId="47" fillId="0" borderId="25" xfId="0" applyFont="1" applyBorder="1"/>
    <xf numFmtId="0" fontId="47" fillId="0" borderId="26" xfId="0" applyFont="1" applyBorder="1"/>
    <xf numFmtId="169" fontId="47" fillId="0" borderId="26" xfId="1" applyNumberFormat="1" applyFont="1" applyBorder="1"/>
    <xf numFmtId="0" fontId="47" fillId="0" borderId="17" xfId="0" applyFont="1" applyBorder="1"/>
    <xf numFmtId="0" fontId="47" fillId="0" borderId="21" xfId="0" applyFont="1" applyBorder="1"/>
    <xf numFmtId="0" fontId="47" fillId="0" borderId="0" xfId="0" applyFont="1"/>
    <xf numFmtId="169" fontId="47" fillId="0" borderId="0" xfId="1" applyNumberFormat="1" applyFont="1" applyBorder="1"/>
    <xf numFmtId="0" fontId="47" fillId="0" borderId="15" xfId="0" applyFont="1" applyBorder="1"/>
    <xf numFmtId="0" fontId="47" fillId="0" borderId="27" xfId="0" applyFont="1" applyBorder="1"/>
    <xf numFmtId="0" fontId="47" fillId="0" borderId="19" xfId="0" applyFont="1" applyBorder="1"/>
    <xf numFmtId="0" fontId="47" fillId="0" borderId="18" xfId="0" applyFont="1" applyBorder="1"/>
    <xf numFmtId="0" fontId="48" fillId="0" borderId="0" xfId="0" applyFont="1"/>
    <xf numFmtId="169" fontId="48" fillId="0" borderId="0" xfId="1" applyNumberFormat="1" applyFont="1"/>
    <xf numFmtId="170" fontId="48" fillId="0" borderId="0" xfId="1" applyNumberFormat="1" applyFont="1"/>
    <xf numFmtId="0" fontId="48" fillId="0" borderId="0" xfId="0" applyFont="1" applyAlignment="1">
      <alignment wrapText="1"/>
    </xf>
    <xf numFmtId="169" fontId="1" fillId="0" borderId="0" xfId="1" applyNumberFormat="1" applyFont="1"/>
    <xf numFmtId="167" fontId="39" fillId="0" borderId="39" xfId="1" applyNumberFormat="1" applyFont="1" applyFill="1" applyBorder="1" applyAlignment="1">
      <alignment horizontal="center"/>
    </xf>
    <xf numFmtId="11" fontId="0" fillId="0" borderId="6" xfId="0" applyNumberFormat="1" applyBorder="1" applyAlignment="1">
      <alignment horizontal="center"/>
    </xf>
    <xf numFmtId="11" fontId="0" fillId="0" borderId="7" xfId="0" applyNumberFormat="1" applyBorder="1" applyAlignment="1">
      <alignment horizontal="left"/>
    </xf>
    <xf numFmtId="11" fontId="0" fillId="0" borderId="7" xfId="0" applyNumberFormat="1" applyBorder="1" applyAlignment="1">
      <alignment horizontal="center"/>
    </xf>
    <xf numFmtId="2" fontId="0" fillId="0" borderId="7" xfId="0" applyNumberFormat="1" applyBorder="1"/>
    <xf numFmtId="167" fontId="0" fillId="0" borderId="7" xfId="0" applyNumberFormat="1" applyBorder="1"/>
    <xf numFmtId="167" fontId="39" fillId="0" borderId="8" xfId="1" applyNumberFormat="1" applyFont="1" applyFill="1" applyBorder="1" applyAlignment="1">
      <alignment horizontal="center"/>
    </xf>
    <xf numFmtId="0" fontId="0" fillId="4" borderId="10" xfId="0" applyFill="1" applyBorder="1" applyAlignment="1">
      <alignment horizontal="center"/>
    </xf>
    <xf numFmtId="0" fontId="33" fillId="0" borderId="10" xfId="0" applyFont="1" applyBorder="1" applyAlignment="1">
      <alignment horizontal="center"/>
    </xf>
    <xf numFmtId="0" fontId="0" fillId="0" borderId="10" xfId="0" applyBorder="1" applyAlignment="1">
      <alignment horizontal="center"/>
    </xf>
    <xf numFmtId="11" fontId="9" fillId="0" borderId="10" xfId="0" applyNumberFormat="1" applyFont="1" applyBorder="1" applyAlignment="1">
      <alignment horizontal="left"/>
    </xf>
    <xf numFmtId="11" fontId="42" fillId="0" borderId="10" xfId="0" applyNumberFormat="1" applyFont="1" applyBorder="1" applyAlignment="1">
      <alignment horizontal="left" wrapText="1"/>
    </xf>
    <xf numFmtId="11" fontId="42" fillId="0" borderId="10" xfId="0" applyNumberFormat="1" applyFont="1" applyBorder="1" applyAlignment="1">
      <alignment horizontal="center" wrapText="1"/>
    </xf>
    <xf numFmtId="2" fontId="42" fillId="0" borderId="10" xfId="0" applyNumberFormat="1" applyFont="1" applyBorder="1" applyAlignment="1">
      <alignment wrapText="1"/>
    </xf>
    <xf numFmtId="0" fontId="22" fillId="2" borderId="23" xfId="0" applyFont="1" applyFill="1" applyBorder="1" applyAlignment="1">
      <alignment horizontal="center"/>
    </xf>
    <xf numFmtId="0" fontId="22" fillId="2" borderId="20" xfId="0" applyFont="1" applyFill="1" applyBorder="1" applyAlignment="1">
      <alignment horizont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0" xfId="0" applyFont="1" applyAlignment="1">
      <alignment horizontal="center" vertical="center" wrapText="1"/>
    </xf>
    <xf numFmtId="3" fontId="8" fillId="0" borderId="0" xfId="0" applyNumberFormat="1" applyFont="1" applyAlignment="1">
      <alignment horizontal="right" vertical="center" wrapText="1"/>
    </xf>
    <xf numFmtId="0" fontId="9" fillId="0" borderId="21" xfId="0" applyFont="1" applyBorder="1" applyAlignment="1">
      <alignment horizontal="left" vertical="center" wrapText="1"/>
    </xf>
    <xf numFmtId="0" fontId="0" fillId="0" borderId="0" xfId="0" applyAlignment="1">
      <alignment vertical="center" wrapText="1"/>
    </xf>
    <xf numFmtId="0" fontId="43" fillId="3" borderId="6" xfId="0" applyFont="1" applyFill="1" applyBorder="1" applyAlignment="1">
      <alignment horizontal="center"/>
    </xf>
    <xf numFmtId="0" fontId="43" fillId="3" borderId="7" xfId="0" applyFont="1" applyFill="1" applyBorder="1" applyAlignment="1">
      <alignment horizontal="center"/>
    </xf>
    <xf numFmtId="0" fontId="43" fillId="3" borderId="8" xfId="0" applyFont="1" applyFill="1" applyBorder="1" applyAlignment="1">
      <alignment horizontal="center"/>
    </xf>
    <xf numFmtId="0" fontId="34" fillId="0" borderId="0" xfId="0" applyFont="1" applyAlignment="1">
      <alignment horizontal="center"/>
    </xf>
    <xf numFmtId="0" fontId="35" fillId="0" borderId="6" xfId="0" applyFont="1" applyBorder="1" applyAlignment="1">
      <alignment horizontal="center" wrapText="1"/>
    </xf>
    <xf numFmtId="0" fontId="35" fillId="0" borderId="7" xfId="0" applyFont="1" applyBorder="1" applyAlignment="1">
      <alignment horizontal="center" wrapText="1"/>
    </xf>
    <xf numFmtId="0" fontId="35" fillId="0" borderId="8" xfId="0" applyFont="1" applyBorder="1" applyAlignment="1">
      <alignment horizontal="center" wrapText="1"/>
    </xf>
    <xf numFmtId="0" fontId="36" fillId="0" borderId="37" xfId="0" applyFont="1" applyBorder="1" applyAlignment="1">
      <alignment horizontal="center" wrapText="1"/>
    </xf>
    <xf numFmtId="0" fontId="36" fillId="0" borderId="14" xfId="0" applyFont="1" applyBorder="1" applyAlignment="1">
      <alignment horizontal="center" wrapText="1"/>
    </xf>
    <xf numFmtId="0" fontId="36" fillId="0" borderId="37"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8" xfId="0" applyFont="1" applyBorder="1" applyAlignment="1">
      <alignment horizontal="center" vertical="center" wrapText="1"/>
    </xf>
    <xf numFmtId="11" fontId="41" fillId="0" borderId="22" xfId="0" applyNumberFormat="1" applyFont="1" applyBorder="1" applyAlignment="1">
      <alignment horizontal="center"/>
    </xf>
    <xf numFmtId="11" fontId="41" fillId="0" borderId="24" xfId="0" applyNumberFormat="1" applyFont="1" applyBorder="1" applyAlignment="1">
      <alignment horizontal="center"/>
    </xf>
    <xf numFmtId="11" fontId="41" fillId="0" borderId="14" xfId="0" applyNumberFormat="1" applyFont="1" applyBorder="1" applyAlignment="1">
      <alignment horizontal="center"/>
    </xf>
    <xf numFmtId="11" fontId="33" fillId="0" borderId="22" xfId="0" applyNumberFormat="1" applyFont="1" applyBorder="1" applyAlignment="1">
      <alignment horizontal="center"/>
    </xf>
    <xf numFmtId="11" fontId="33" fillId="0" borderId="24" xfId="0" applyNumberFormat="1" applyFont="1" applyBorder="1" applyAlignment="1">
      <alignment horizontal="center"/>
    </xf>
    <xf numFmtId="11" fontId="33" fillId="0" borderId="28" xfId="0" applyNumberFormat="1" applyFont="1" applyBorder="1" applyAlignment="1">
      <alignment horizontal="center"/>
    </xf>
    <xf numFmtId="0" fontId="47" fillId="0" borderId="22" xfId="0" applyFont="1" applyBorder="1" applyAlignment="1">
      <alignment horizontal="center"/>
    </xf>
    <xf numFmtId="0" fontId="47" fillId="0" borderId="24" xfId="0" applyFont="1" applyBorder="1" applyAlignment="1">
      <alignment horizontal="center"/>
    </xf>
    <xf numFmtId="0" fontId="47" fillId="0" borderId="14" xfId="0" applyFont="1" applyBorder="1" applyAlignment="1">
      <alignment horizontal="center"/>
    </xf>
    <xf numFmtId="0" fontId="47" fillId="0" borderId="19" xfId="0" applyFont="1" applyBorder="1" applyAlignment="1">
      <alignment horizontal="center"/>
    </xf>
    <xf numFmtId="0" fontId="47" fillId="0" borderId="0" xfId="0" applyFont="1" applyAlignment="1">
      <alignment horizontal="center"/>
    </xf>
    <xf numFmtId="11" fontId="33" fillId="0" borderId="14" xfId="0" applyNumberFormat="1" applyFont="1" applyBorder="1" applyAlignment="1">
      <alignment horizontal="center"/>
    </xf>
    <xf numFmtId="0" fontId="9" fillId="2" borderId="10" xfId="0" applyFont="1" applyFill="1" applyBorder="1" applyAlignment="1">
      <alignment horizontal="center"/>
    </xf>
    <xf numFmtId="0" fontId="18" fillId="0" borderId="12" xfId="0" applyFont="1" applyBorder="1" applyAlignment="1">
      <alignment horizontal="center"/>
    </xf>
    <xf numFmtId="0" fontId="13" fillId="0" borderId="18" xfId="0" applyFont="1" applyBorder="1" applyAlignment="1">
      <alignment horizontal="center"/>
    </xf>
    <xf numFmtId="0" fontId="13" fillId="0" borderId="30" xfId="0" applyFont="1" applyBorder="1" applyAlignment="1">
      <alignment horizontal="center"/>
    </xf>
    <xf numFmtId="0" fontId="13" fillId="0" borderId="13" xfId="0" applyFont="1" applyBorder="1" applyAlignment="1">
      <alignment horizontal="center"/>
    </xf>
    <xf numFmtId="0" fontId="18" fillId="0" borderId="31" xfId="0" applyFont="1" applyBorder="1" applyAlignment="1">
      <alignment horizontal="center"/>
    </xf>
    <xf numFmtId="0" fontId="13" fillId="0" borderId="38" xfId="0" applyFont="1" applyBorder="1" applyAlignment="1">
      <alignment horizontal="center"/>
    </xf>
    <xf numFmtId="0" fontId="13" fillId="0" borderId="32" xfId="0" applyFont="1" applyBorder="1" applyAlignment="1">
      <alignment horizontal="center"/>
    </xf>
    <xf numFmtId="0" fontId="13" fillId="0" borderId="33" xfId="0" applyFont="1" applyBorder="1" applyAlignment="1">
      <alignment horizontal="center"/>
    </xf>
    <xf numFmtId="0" fontId="32" fillId="2" borderId="9" xfId="0" applyFont="1" applyFill="1" applyBorder="1" applyAlignment="1">
      <alignment horizontal="center"/>
    </xf>
    <xf numFmtId="0" fontId="32" fillId="2" borderId="10" xfId="0" applyFont="1" applyFill="1" applyBorder="1" applyAlignment="1">
      <alignment horizontal="center"/>
    </xf>
    <xf numFmtId="0" fontId="48" fillId="5" borderId="0" xfId="0" applyFont="1" applyFill="1"/>
    <xf numFmtId="0" fontId="48" fillId="5" borderId="0" xfId="0" applyFont="1" applyFill="1" applyAlignment="1">
      <alignment wrapText="1"/>
    </xf>
    <xf numFmtId="169" fontId="48" fillId="5" borderId="0" xfId="1" applyNumberFormat="1" applyFont="1" applyFill="1"/>
    <xf numFmtId="170" fontId="48" fillId="5" borderId="0" xfId="1" applyNumberFormat="1" applyFont="1" applyFill="1"/>
    <xf numFmtId="0" fontId="47" fillId="5" borderId="0" xfId="0" applyFont="1" applyFill="1"/>
    <xf numFmtId="0" fontId="0" fillId="5" borderId="0" xfId="0" applyFill="1"/>
    <xf numFmtId="0" fontId="48" fillId="5" borderId="0" xfId="0" applyFont="1" applyFill="1" applyAlignment="1">
      <alignment vertical="center"/>
    </xf>
    <xf numFmtId="0" fontId="48" fillId="5" borderId="0" xfId="0" applyFont="1" applyFill="1" applyAlignment="1">
      <alignment horizontal="left" vertical="top" wrapText="1"/>
    </xf>
    <xf numFmtId="0" fontId="0" fillId="5" borderId="22" xfId="0" applyFill="1" applyBorder="1"/>
    <xf numFmtId="0" fontId="0" fillId="5" borderId="24" xfId="0" applyFill="1" applyBorder="1"/>
    <xf numFmtId="169" fontId="1" fillId="5" borderId="24" xfId="1" applyNumberFormat="1" applyFont="1" applyFill="1" applyBorder="1"/>
    <xf numFmtId="170" fontId="1" fillId="5" borderId="14" xfId="1" applyNumberFormat="1" applyFont="1" applyFill="1" applyBorder="1"/>
    <xf numFmtId="170" fontId="47" fillId="5" borderId="0" xfId="1" applyNumberFormat="1" applyFont="1" applyFill="1"/>
    <xf numFmtId="170" fontId="1" fillId="5" borderId="24" xfId="1" applyNumberFormat="1" applyFont="1" applyFill="1" applyBorder="1"/>
    <xf numFmtId="0" fontId="49" fillId="5" borderId="0" xfId="0" applyFont="1" applyFill="1" applyAlignment="1">
      <alignment wrapText="1"/>
    </xf>
    <xf numFmtId="0" fontId="0" fillId="5" borderId="14" xfId="0" applyFill="1" applyBorder="1"/>
    <xf numFmtId="0" fontId="48" fillId="5" borderId="0" xfId="0" applyFont="1" applyFill="1" applyAlignment="1">
      <alignment vertical="center" wrapText="1"/>
    </xf>
    <xf numFmtId="169" fontId="48" fillId="5" borderId="0" xfId="1" applyNumberFormat="1" applyFont="1" applyFill="1" applyAlignment="1">
      <alignment wrapText="1"/>
    </xf>
    <xf numFmtId="170" fontId="48" fillId="5" borderId="0" xfId="1" applyNumberFormat="1" applyFont="1" applyFill="1" applyAlignment="1">
      <alignment wrapText="1"/>
    </xf>
    <xf numFmtId="0" fontId="47" fillId="5" borderId="0" xfId="0" applyFont="1" applyFill="1" applyAlignment="1">
      <alignment wrapText="1"/>
    </xf>
    <xf numFmtId="0" fontId="0" fillId="5" borderId="0" xfId="0" applyFill="1" applyAlignment="1">
      <alignment wrapText="1"/>
    </xf>
    <xf numFmtId="169" fontId="1" fillId="5" borderId="0" xfId="1" applyNumberFormat="1" applyFont="1" applyFill="1"/>
    <xf numFmtId="169" fontId="50" fillId="5" borderId="0" xfId="1" applyNumberFormat="1" applyFont="1" applyFill="1" applyAlignment="1">
      <alignment wrapText="1"/>
    </xf>
    <xf numFmtId="0" fontId="47" fillId="5" borderId="22" xfId="0" applyFont="1" applyFill="1" applyBorder="1"/>
    <xf numFmtId="0" fontId="47" fillId="5" borderId="24" xfId="0" applyFont="1" applyFill="1" applyBorder="1"/>
    <xf numFmtId="169" fontId="47" fillId="5" borderId="24" xfId="1" applyNumberFormat="1" applyFont="1" applyFill="1" applyBorder="1"/>
    <xf numFmtId="170" fontId="47" fillId="5" borderId="24" xfId="1" applyNumberFormat="1" applyFont="1" applyFill="1" applyBorder="1"/>
    <xf numFmtId="0" fontId="47" fillId="5" borderId="14" xfId="0" applyFont="1" applyFill="1" applyBorder="1"/>
    <xf numFmtId="169" fontId="50" fillId="5" borderId="0" xfId="1" applyNumberFormat="1" applyFont="1" applyFill="1"/>
    <xf numFmtId="0" fontId="49" fillId="5" borderId="0" xfId="0" applyFont="1" applyFill="1" applyAlignment="1">
      <alignment horizontal="left" wrapText="1"/>
    </xf>
    <xf numFmtId="0" fontId="53" fillId="5" borderId="24" xfId="0" applyFont="1" applyFill="1" applyBorder="1" applyAlignment="1">
      <alignment horizontal="center" vertical="top" wrapText="1"/>
    </xf>
    <xf numFmtId="0" fontId="49" fillId="5" borderId="24" xfId="0" applyFont="1" applyFill="1" applyBorder="1" applyAlignment="1">
      <alignment horizontal="center" vertical="top"/>
    </xf>
    <xf numFmtId="169" fontId="47" fillId="5" borderId="0" xfId="1" applyNumberFormat="1" applyFont="1" applyFill="1"/>
    <xf numFmtId="0" fontId="47" fillId="5" borderId="0" xfId="0" applyFont="1" applyFill="1" applyAlignment="1">
      <alignment vertical="center"/>
    </xf>
    <xf numFmtId="170" fontId="0" fillId="5" borderId="14" xfId="0" applyNumberFormat="1" applyFill="1" applyBorder="1"/>
    <xf numFmtId="0" fontId="0" fillId="5" borderId="24" xfId="0" applyFill="1" applyBorder="1" applyAlignment="1">
      <alignment wrapText="1"/>
    </xf>
    <xf numFmtId="0" fontId="52" fillId="5" borderId="0" xfId="0" applyFont="1" applyFill="1"/>
    <xf numFmtId="170" fontId="1" fillId="5" borderId="0" xfId="1" applyNumberFormat="1" applyFont="1" applyFill="1"/>
    <xf numFmtId="170" fontId="51" fillId="5" borderId="0" xfId="1" applyNumberFormat="1" applyFont="1" applyFill="1"/>
    <xf numFmtId="0" fontId="49" fillId="5" borderId="0" xfId="0" applyFont="1" applyFill="1"/>
    <xf numFmtId="170" fontId="47" fillId="5" borderId="14" xfId="1" applyNumberFormat="1" applyFont="1" applyFill="1" applyBorder="1"/>
    <xf numFmtId="0" fontId="0" fillId="5" borderId="6" xfId="0" applyFill="1" applyBorder="1"/>
    <xf numFmtId="0" fontId="33" fillId="5" borderId="7" xfId="0" applyFont="1" applyFill="1" applyBorder="1"/>
    <xf numFmtId="169" fontId="33" fillId="5" borderId="7" xfId="1" applyNumberFormat="1" applyFont="1" applyFill="1" applyBorder="1"/>
    <xf numFmtId="170" fontId="33" fillId="5" borderId="7" xfId="0" applyNumberFormat="1" applyFont="1" applyFill="1" applyBorder="1"/>
    <xf numFmtId="0" fontId="33" fillId="5" borderId="8" xfId="0" applyFont="1" applyFill="1" applyBorder="1"/>
    <xf numFmtId="0" fontId="47" fillId="5" borderId="10" xfId="0" applyFont="1" applyFill="1" applyBorder="1"/>
    <xf numFmtId="169" fontId="47" fillId="5" borderId="10" xfId="1" applyNumberFormat="1" applyFont="1" applyFill="1" applyBorder="1"/>
    <xf numFmtId="0" fontId="48" fillId="5" borderId="0" xfId="0" applyFont="1" applyFill="1" applyAlignment="1">
      <alignment vertical="top" wrapText="1"/>
    </xf>
    <xf numFmtId="169" fontId="14" fillId="5" borderId="24" xfId="1" applyNumberFormat="1" applyFont="1" applyFill="1" applyBorder="1"/>
    <xf numFmtId="169" fontId="14" fillId="5" borderId="0" xfId="1" applyNumberFormat="1" applyFont="1" applyFill="1"/>
    <xf numFmtId="11" fontId="0" fillId="5" borderId="10" xfId="0" applyNumberFormat="1" applyFill="1" applyBorder="1" applyAlignment="1">
      <alignment horizontal="center"/>
    </xf>
    <xf numFmtId="11" fontId="3" fillId="5" borderId="10" xfId="0" applyNumberFormat="1" applyFont="1" applyFill="1" applyBorder="1" applyAlignment="1">
      <alignment horizontal="left" wrapText="1"/>
    </xf>
    <xf numFmtId="2" fontId="0" fillId="5" borderId="10" xfId="0" applyNumberFormat="1" applyFill="1" applyBorder="1"/>
    <xf numFmtId="167" fontId="0" fillId="5" borderId="10" xfId="0" applyNumberFormat="1" applyFill="1" applyBorder="1"/>
    <xf numFmtId="167" fontId="39" fillId="5" borderId="13" xfId="1" applyNumberFormat="1" applyFont="1" applyFill="1" applyBorder="1" applyAlignment="1">
      <alignment horizontal="center"/>
    </xf>
    <xf numFmtId="11" fontId="0" fillId="5" borderId="10" xfId="0" applyNumberFormat="1" applyFill="1" applyBorder="1" applyAlignment="1">
      <alignment horizontal="left"/>
    </xf>
    <xf numFmtId="11" fontId="3" fillId="5" borderId="10" xfId="0" applyNumberFormat="1" applyFont="1" applyFill="1" applyBorder="1" applyAlignment="1">
      <alignment horizontal="left"/>
    </xf>
    <xf numFmtId="11" fontId="3" fillId="5" borderId="10" xfId="0" applyNumberFormat="1" applyFont="1" applyFill="1" applyBorder="1" applyAlignment="1">
      <alignment horizontal="center"/>
    </xf>
    <xf numFmtId="11" fontId="33" fillId="5" borderId="10" xfId="0" applyNumberFormat="1" applyFont="1" applyFill="1" applyBorder="1" applyAlignment="1">
      <alignment horizontal="center"/>
    </xf>
    <xf numFmtId="11" fontId="33" fillId="5" borderId="10" xfId="0" applyNumberFormat="1" applyFont="1" applyFill="1" applyBorder="1" applyAlignment="1">
      <alignment horizontal="left"/>
    </xf>
    <xf numFmtId="11" fontId="0" fillId="5" borderId="10" xfId="0" applyNumberFormat="1" applyFill="1" applyBorder="1" applyAlignment="1">
      <alignment horizontal="left" wrapText="1"/>
    </xf>
    <xf numFmtId="11" fontId="42" fillId="5" borderId="10" xfId="0" applyNumberFormat="1" applyFont="1" applyFill="1" applyBorder="1" applyAlignment="1">
      <alignment horizontal="left" wrapText="1"/>
    </xf>
    <xf numFmtId="11" fontId="42" fillId="5" borderId="10" xfId="0" applyNumberFormat="1" applyFont="1" applyFill="1" applyBorder="1" applyAlignment="1">
      <alignment horizontal="center" wrapText="1"/>
    </xf>
    <xf numFmtId="2" fontId="42" fillId="5" borderId="10" xfId="0" applyNumberFormat="1" applyFont="1" applyFill="1" applyBorder="1" applyAlignment="1">
      <alignment wrapText="1"/>
    </xf>
    <xf numFmtId="167" fontId="0" fillId="5" borderId="0" xfId="0" applyNumberFormat="1" applyFill="1"/>
    <xf numFmtId="11" fontId="0" fillId="5" borderId="10" xfId="0" applyNumberFormat="1" applyFill="1" applyBorder="1" applyAlignment="1">
      <alignment horizontal="left" vertical="top" wrapText="1"/>
    </xf>
    <xf numFmtId="2" fontId="30" fillId="5" borderId="10" xfId="0" applyNumberFormat="1" applyFont="1" applyFill="1" applyBorder="1"/>
    <xf numFmtId="2" fontId="3" fillId="5" borderId="10" xfId="0" applyNumberFormat="1" applyFont="1" applyFill="1" applyBorder="1"/>
    <xf numFmtId="167" fontId="30" fillId="5" borderId="10" xfId="0" applyNumberFormat="1" applyFont="1" applyFill="1" applyBorder="1"/>
    <xf numFmtId="167" fontId="46" fillId="5" borderId="13" xfId="1" applyNumberFormat="1" applyFont="1" applyFill="1" applyBorder="1" applyAlignment="1">
      <alignment horizontal="center"/>
    </xf>
    <xf numFmtId="0" fontId="30" fillId="5" borderId="0" xfId="0" applyFont="1" applyFill="1"/>
    <xf numFmtId="167" fontId="3" fillId="5" borderId="10" xfId="0" applyNumberFormat="1" applyFont="1" applyFill="1" applyBorder="1"/>
    <xf numFmtId="167" fontId="28" fillId="5" borderId="13" xfId="1" applyNumberFormat="1" applyFont="1" applyFill="1" applyBorder="1" applyAlignment="1">
      <alignment horizontal="center"/>
    </xf>
    <xf numFmtId="2" fontId="30" fillId="5" borderId="10" xfId="0" applyNumberFormat="1" applyFont="1" applyFill="1" applyBorder="1" applyAlignment="1">
      <alignment wrapText="1"/>
    </xf>
    <xf numFmtId="167" fontId="30" fillId="5" borderId="10" xfId="0" applyNumberFormat="1" applyFont="1" applyFill="1" applyBorder="1" applyAlignment="1">
      <alignment wrapText="1"/>
    </xf>
    <xf numFmtId="167" fontId="46" fillId="5" borderId="13" xfId="1" applyNumberFormat="1" applyFont="1" applyFill="1" applyBorder="1" applyAlignment="1">
      <alignment horizontal="center" wrapText="1"/>
    </xf>
    <xf numFmtId="11" fontId="33" fillId="5" borderId="22" xfId="0" applyNumberFormat="1" applyFont="1" applyFill="1" applyBorder="1" applyAlignment="1">
      <alignment horizontal="center"/>
    </xf>
    <xf numFmtId="11" fontId="33" fillId="5" borderId="24" xfId="0" applyNumberFormat="1" applyFont="1" applyFill="1" applyBorder="1" applyAlignment="1">
      <alignment horizontal="center"/>
    </xf>
    <xf numFmtId="11" fontId="33" fillId="5" borderId="14" xfId="0" applyNumberFormat="1" applyFont="1" applyFill="1" applyBorder="1" applyAlignment="1">
      <alignment horizontal="center"/>
    </xf>
    <xf numFmtId="11" fontId="41" fillId="5" borderId="22" xfId="0" applyNumberFormat="1" applyFont="1" applyFill="1" applyBorder="1" applyAlignment="1">
      <alignment horizontal="center"/>
    </xf>
    <xf numFmtId="11" fontId="41" fillId="5" borderId="24" xfId="0" applyNumberFormat="1" applyFont="1" applyFill="1" applyBorder="1" applyAlignment="1">
      <alignment horizontal="center"/>
    </xf>
    <xf numFmtId="11" fontId="41" fillId="5" borderId="14" xfId="0" applyNumberFormat="1" applyFont="1" applyFill="1" applyBorder="1" applyAlignment="1">
      <alignment horizontal="center"/>
    </xf>
    <xf numFmtId="11" fontId="0" fillId="5" borderId="16" xfId="0" applyNumberFormat="1" applyFill="1" applyBorder="1" applyAlignment="1">
      <alignment horizontal="center"/>
    </xf>
    <xf numFmtId="11" fontId="0" fillId="5" borderId="16" xfId="0" applyNumberFormat="1" applyFill="1" applyBorder="1" applyAlignment="1">
      <alignment horizontal="left"/>
    </xf>
    <xf numFmtId="2" fontId="0" fillId="5" borderId="16" xfId="0" applyNumberFormat="1" applyFill="1" applyBorder="1"/>
    <xf numFmtId="167" fontId="0" fillId="5" borderId="16" xfId="0" applyNumberFormat="1" applyFill="1" applyBorder="1"/>
    <xf numFmtId="11" fontId="3" fillId="5" borderId="10" xfId="0" applyNumberFormat="1" applyFont="1" applyFill="1" applyBorder="1" applyAlignment="1">
      <alignment horizontal="center" wrapText="1"/>
    </xf>
    <xf numFmtId="166" fontId="3" fillId="5" borderId="10" xfId="1" applyNumberFormat="1" applyFont="1" applyFill="1" applyBorder="1"/>
  </cellXfs>
  <cellStyles count="7">
    <cellStyle name="Millares" xfId="1" builtinId="3"/>
    <cellStyle name="Millares [0]" xfId="6" builtinId="6"/>
    <cellStyle name="Millares [0] 2" xfId="5" xr:uid="{00000000-0005-0000-0000-000002000000}"/>
    <cellStyle name="Millares 2" xfId="2" xr:uid="{00000000-0005-0000-0000-000003000000}"/>
    <cellStyle name="Normal" xfId="0" builtinId="0"/>
    <cellStyle name="Normal 2" xfId="3" xr:uid="{00000000-0005-0000-0000-000005000000}"/>
    <cellStyle name="Normal 2 2" xfId="4" xr:uid="{00000000-0005-0000-0000-00000600000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301625</xdr:colOff>
      <xdr:row>1</xdr:row>
      <xdr:rowOff>19050</xdr:rowOff>
    </xdr:from>
    <xdr:to>
      <xdr:col>7</xdr:col>
      <xdr:colOff>768349</xdr:colOff>
      <xdr:row>3</xdr:row>
      <xdr:rowOff>34925</xdr:rowOff>
    </xdr:to>
    <xdr:grpSp>
      <xdr:nvGrpSpPr>
        <xdr:cNvPr id="2" name="Group 2">
          <a:extLst>
            <a:ext uri="{FF2B5EF4-FFF2-40B4-BE49-F238E27FC236}">
              <a16:creationId xmlns:a16="http://schemas.microsoft.com/office/drawing/2014/main" id="{00000000-0008-0000-0000-000002000000}"/>
            </a:ext>
          </a:extLst>
        </xdr:cNvPr>
        <xdr:cNvGrpSpPr>
          <a:grpSpLocks/>
        </xdr:cNvGrpSpPr>
      </xdr:nvGrpSpPr>
      <xdr:grpSpPr bwMode="auto">
        <a:xfrm>
          <a:off x="301625" y="276225"/>
          <a:ext cx="6715124" cy="434975"/>
          <a:chOff x="1538" y="709"/>
          <a:chExt cx="8963" cy="906"/>
        </a:xfrm>
      </xdr:grpSpPr>
      <xdr:pic>
        <xdr:nvPicPr>
          <xdr:cNvPr id="3" name="Picture 3" descr="logo1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8982" b="30400"/>
          <a:stretch>
            <a:fillRect/>
          </a:stretch>
        </xdr:blipFill>
        <xdr:spPr bwMode="auto">
          <a:xfrm>
            <a:off x="3964" y="709"/>
            <a:ext cx="2711" cy="906"/>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14:hiddenEffects>
            </a:ext>
          </a:extLst>
        </xdr:spPr>
      </xdr:pic>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8" y="849"/>
            <a:ext cx="2157" cy="76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10" y="709"/>
            <a:ext cx="1890" cy="61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128" y="849"/>
            <a:ext cx="1373" cy="6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352425</xdr:colOff>
      <xdr:row>2</xdr:row>
      <xdr:rowOff>0</xdr:rowOff>
    </xdr:from>
    <xdr:ext cx="184731" cy="264560"/>
    <xdr:sp macro="" textlink="">
      <xdr:nvSpPr>
        <xdr:cNvPr id="12" name="CuadroTexto 11">
          <a:extLst>
            <a:ext uri="{FF2B5EF4-FFF2-40B4-BE49-F238E27FC236}">
              <a16:creationId xmlns:a16="http://schemas.microsoft.com/office/drawing/2014/main" id="{00000000-0008-0000-0800-00000C000000}"/>
            </a:ext>
          </a:extLst>
        </xdr:cNvPr>
        <xdr:cNvSpPr txBox="1"/>
      </xdr:nvSpPr>
      <xdr:spPr>
        <a:xfrm>
          <a:off x="1257300"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twoCellAnchor>
    <xdr:from>
      <xdr:col>2</xdr:col>
      <xdr:colOff>3604986</xdr:colOff>
      <xdr:row>1</xdr:row>
      <xdr:rowOff>96610</xdr:rowOff>
    </xdr:from>
    <xdr:to>
      <xdr:col>7</xdr:col>
      <xdr:colOff>306161</xdr:colOff>
      <xdr:row>3</xdr:row>
      <xdr:rowOff>236586</xdr:rowOff>
    </xdr:to>
    <xdr:pic>
      <xdr:nvPicPr>
        <xdr:cNvPr id="13" name="Imagen 12" descr="MINISTERIO SALUD PUBLICA Y BIENESTAR SOCIAL Curvas-01">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0968" y="255360"/>
          <a:ext cx="4321175" cy="763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131536</xdr:colOff>
      <xdr:row>1</xdr:row>
      <xdr:rowOff>0</xdr:rowOff>
    </xdr:from>
    <xdr:to>
      <xdr:col>2</xdr:col>
      <xdr:colOff>2177143</xdr:colOff>
      <xdr:row>3</xdr:row>
      <xdr:rowOff>192768</xdr:rowOff>
    </xdr:to>
    <xdr:pic>
      <xdr:nvPicPr>
        <xdr:cNvPr id="14" name="Imagen 15" descr="logo11">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8982" b="30400"/>
        <a:stretch>
          <a:fillRect/>
        </a:stretch>
      </xdr:blipFill>
      <xdr:spPr bwMode="auto">
        <a:xfrm>
          <a:off x="131536" y="158750"/>
          <a:ext cx="3281589" cy="816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247649</xdr:colOff>
      <xdr:row>4</xdr:row>
      <xdr:rowOff>19049</xdr:rowOff>
    </xdr:from>
    <xdr:to>
      <xdr:col>7</xdr:col>
      <xdr:colOff>1247322</xdr:colOff>
      <xdr:row>6</xdr:row>
      <xdr:rowOff>133349</xdr:rowOff>
    </xdr:to>
    <xdr:sp macro="" textlink="">
      <xdr:nvSpPr>
        <xdr:cNvPr id="15" name="CuadroTexto 14">
          <a:extLst>
            <a:ext uri="{FF2B5EF4-FFF2-40B4-BE49-F238E27FC236}">
              <a16:creationId xmlns:a16="http://schemas.microsoft.com/office/drawing/2014/main" id="{00000000-0008-0000-0800-00000F000000}"/>
            </a:ext>
          </a:extLst>
        </xdr:cNvPr>
        <xdr:cNvSpPr txBox="1"/>
      </xdr:nvSpPr>
      <xdr:spPr>
        <a:xfrm>
          <a:off x="247649" y="1096281"/>
          <a:ext cx="9855655" cy="53385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Misión: Garantizar el cumplimiento de las funciones de rectoría, conducción, financiamiento y provisión de los servicios de salud con el fin de alcanzar la cobertura universal, bajo el enfoque de protección social, el marco del Sistema Nacional de Salud.</a:t>
          </a:r>
        </a:p>
        <a:p>
          <a:r>
            <a:rPr lang="es-MX" sz="1100"/>
            <a:t> </a:t>
          </a:r>
        </a:p>
        <a:p>
          <a:r>
            <a:rPr lang="es-MX" sz="1100"/>
            <a:t> </a:t>
          </a:r>
        </a:p>
        <a:p>
          <a:endParaRPr lang="es-MX"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352425</xdr:colOff>
      <xdr:row>1</xdr:row>
      <xdr:rowOff>0</xdr:rowOff>
    </xdr:from>
    <xdr:ext cx="184731" cy="264560"/>
    <xdr:sp macro="" textlink="">
      <xdr:nvSpPr>
        <xdr:cNvPr id="7" name="CuadroTexto 6">
          <a:extLst>
            <a:ext uri="{FF2B5EF4-FFF2-40B4-BE49-F238E27FC236}">
              <a16:creationId xmlns:a16="http://schemas.microsoft.com/office/drawing/2014/main" id="{00000000-0008-0000-0900-000007000000}"/>
            </a:ext>
          </a:extLst>
        </xdr:cNvPr>
        <xdr:cNvSpPr txBox="1"/>
      </xdr:nvSpPr>
      <xdr:spPr>
        <a:xfrm>
          <a:off x="1257300"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twoCellAnchor>
    <xdr:from>
      <xdr:col>1</xdr:col>
      <xdr:colOff>2419350</xdr:colOff>
      <xdr:row>0</xdr:row>
      <xdr:rowOff>38101</xdr:rowOff>
    </xdr:from>
    <xdr:to>
      <xdr:col>5</xdr:col>
      <xdr:colOff>1436184</xdr:colOff>
      <xdr:row>2</xdr:row>
      <xdr:rowOff>57151</xdr:rowOff>
    </xdr:to>
    <xdr:pic>
      <xdr:nvPicPr>
        <xdr:cNvPr id="8" name="Imagen 7" descr="MINISTERIO SALUD PUBLICA Y BIENESTAR SOCIAL Curvas-01">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0875" y="38101"/>
          <a:ext cx="3493584"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0</xdr:row>
      <xdr:rowOff>47626</xdr:rowOff>
    </xdr:from>
    <xdr:to>
      <xdr:col>1</xdr:col>
      <xdr:colOff>2228850</xdr:colOff>
      <xdr:row>2</xdr:row>
      <xdr:rowOff>76757</xdr:rowOff>
    </xdr:to>
    <xdr:pic>
      <xdr:nvPicPr>
        <xdr:cNvPr id="9" name="Imagen 15" descr="logo11">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8982" b="30400"/>
        <a:stretch>
          <a:fillRect/>
        </a:stretch>
      </xdr:blipFill>
      <xdr:spPr bwMode="auto">
        <a:xfrm>
          <a:off x="152400" y="47626"/>
          <a:ext cx="2847975" cy="657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247650</xdr:colOff>
      <xdr:row>3</xdr:row>
      <xdr:rowOff>19049</xdr:rowOff>
    </xdr:from>
    <xdr:to>
      <xdr:col>5</xdr:col>
      <xdr:colOff>1390650</xdr:colOff>
      <xdr:row>5</xdr:row>
      <xdr:rowOff>133349</xdr:rowOff>
    </xdr:to>
    <xdr:sp macro="" textlink="">
      <xdr:nvSpPr>
        <xdr:cNvPr id="10" name="CuadroTexto 9">
          <a:extLst>
            <a:ext uri="{FF2B5EF4-FFF2-40B4-BE49-F238E27FC236}">
              <a16:creationId xmlns:a16="http://schemas.microsoft.com/office/drawing/2014/main" id="{00000000-0008-0000-0900-00000A000000}"/>
            </a:ext>
          </a:extLst>
        </xdr:cNvPr>
        <xdr:cNvSpPr txBox="1"/>
      </xdr:nvSpPr>
      <xdr:spPr>
        <a:xfrm>
          <a:off x="247650" y="942974"/>
          <a:ext cx="6391275" cy="5334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Misión: Garantizar el cumplimiento de las funciones de rectoría, conducción, financiamiento y provisión de los servicios de salud con el fin de alcanzar la cobertura universal, bajo el enfoque de protección social, el marco del Sistema Nacional de Salud.</a:t>
          </a:r>
        </a:p>
        <a:p>
          <a:r>
            <a:rPr lang="es-MX" sz="1100"/>
            <a:t> </a:t>
          </a:r>
        </a:p>
        <a:p>
          <a:r>
            <a:rPr lang="es-MX" sz="1100"/>
            <a:t> </a:t>
          </a:r>
        </a:p>
        <a:p>
          <a:endParaRPr lang="es-MX"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view="pageBreakPreview" zoomScaleSheetLayoutView="100" workbookViewId="0">
      <selection activeCell="G14" sqref="G14"/>
    </sheetView>
  </sheetViews>
  <sheetFormatPr baseColWidth="10" defaultRowHeight="12.75" x14ac:dyDescent="0.2"/>
  <cols>
    <col min="1" max="1" width="5.42578125" style="89" customWidth="1"/>
    <col min="2" max="2" width="12.5703125" bestFit="1" customWidth="1"/>
    <col min="3" max="3" width="30.42578125" style="65" customWidth="1"/>
    <col min="4" max="4" width="7.5703125" customWidth="1"/>
    <col min="5" max="5" width="11.140625" style="39" customWidth="1"/>
    <col min="6" max="6" width="14" style="9" bestFit="1" customWidth="1"/>
    <col min="7" max="7" width="12.5703125" style="9" customWidth="1"/>
    <col min="8" max="8" width="20.140625" style="8" customWidth="1"/>
    <col min="10" max="10" width="11.42578125" hidden="1" customWidth="1"/>
    <col min="11" max="11" width="0" hidden="1" customWidth="1"/>
  </cols>
  <sheetData>
    <row r="1" spans="1:10" ht="20.25" x14ac:dyDescent="0.2">
      <c r="A1" s="10"/>
      <c r="B1" s="4"/>
      <c r="C1" s="64"/>
      <c r="D1" s="4"/>
      <c r="E1" s="40"/>
      <c r="F1" s="5"/>
      <c r="G1" s="5"/>
      <c r="H1" s="30"/>
    </row>
    <row r="2" spans="1:10" ht="15" x14ac:dyDescent="0.2">
      <c r="A2" s="11"/>
      <c r="B2" s="246"/>
      <c r="C2" s="246"/>
      <c r="D2" s="1"/>
      <c r="E2" s="37"/>
      <c r="F2" s="6"/>
      <c r="G2" s="7"/>
      <c r="H2" s="31"/>
    </row>
    <row r="3" spans="1:10" ht="18" x14ac:dyDescent="0.2">
      <c r="A3" s="11"/>
      <c r="B3" s="246"/>
      <c r="C3" s="246"/>
      <c r="D3" s="247"/>
      <c r="E3" s="247"/>
      <c r="F3" s="247"/>
      <c r="G3" s="7"/>
      <c r="H3" s="31"/>
    </row>
    <row r="4" spans="1:10" ht="13.5" thickBot="1" x14ac:dyDescent="0.25">
      <c r="A4" s="248"/>
      <c r="B4" s="249"/>
      <c r="C4" s="249"/>
      <c r="D4" s="249"/>
      <c r="E4" s="37"/>
      <c r="F4" s="6"/>
      <c r="G4" s="7"/>
      <c r="H4" s="31"/>
    </row>
    <row r="5" spans="1:10" ht="33" customHeight="1" thickBot="1" x14ac:dyDescent="0.25">
      <c r="A5" s="240" t="s">
        <v>121</v>
      </c>
      <c r="B5" s="241"/>
      <c r="C5" s="241"/>
      <c r="D5" s="241"/>
      <c r="E5" s="241"/>
      <c r="F5" s="241"/>
      <c r="G5" s="241"/>
      <c r="H5" s="242"/>
    </row>
    <row r="6" spans="1:10" ht="24.75" customHeight="1" thickBot="1" x14ac:dyDescent="0.25">
      <c r="A6" s="243" t="s">
        <v>122</v>
      </c>
      <c r="B6" s="244"/>
      <c r="C6" s="244"/>
      <c r="D6" s="244"/>
      <c r="E6" s="244"/>
      <c r="F6" s="244"/>
      <c r="G6" s="244"/>
      <c r="H6" s="245"/>
    </row>
    <row r="7" spans="1:10" ht="39" thickBot="1" x14ac:dyDescent="0.25">
      <c r="A7" s="79" t="s">
        <v>0</v>
      </c>
      <c r="B7" s="80" t="s">
        <v>1</v>
      </c>
      <c r="C7" s="80" t="s">
        <v>2</v>
      </c>
      <c r="D7" s="80" t="s">
        <v>3</v>
      </c>
      <c r="E7" s="81" t="s">
        <v>4</v>
      </c>
      <c r="F7" s="82" t="s">
        <v>41</v>
      </c>
      <c r="G7" s="83" t="s">
        <v>40</v>
      </c>
      <c r="H7" s="84" t="s">
        <v>5</v>
      </c>
      <c r="J7" s="12">
        <v>1.25</v>
      </c>
    </row>
    <row r="8" spans="1:10" x14ac:dyDescent="0.2">
      <c r="A8" s="86">
        <v>1</v>
      </c>
      <c r="B8" s="72"/>
      <c r="C8" s="73" t="s">
        <v>18</v>
      </c>
      <c r="D8" s="74"/>
      <c r="E8" s="75"/>
      <c r="F8" s="76"/>
      <c r="G8" s="77"/>
      <c r="H8" s="78"/>
      <c r="J8" s="12">
        <v>1.25</v>
      </c>
    </row>
    <row r="9" spans="1:10" ht="25.5" x14ac:dyDescent="0.2">
      <c r="A9" s="58">
        <v>1.1000000000000001</v>
      </c>
      <c r="B9" s="58" t="s">
        <v>7</v>
      </c>
      <c r="C9" s="57" t="s">
        <v>19</v>
      </c>
      <c r="D9" s="58"/>
      <c r="E9" s="59"/>
      <c r="F9" s="60"/>
      <c r="G9" s="61"/>
      <c r="H9" s="42"/>
    </row>
    <row r="10" spans="1:10" x14ac:dyDescent="0.2">
      <c r="A10" s="3">
        <v>1.2</v>
      </c>
      <c r="B10" s="3" t="s">
        <v>7</v>
      </c>
      <c r="C10" s="2" t="s">
        <v>45</v>
      </c>
      <c r="D10" s="3" t="s">
        <v>20</v>
      </c>
      <c r="E10" s="38">
        <v>336</v>
      </c>
      <c r="F10" s="42"/>
      <c r="G10" s="43"/>
      <c r="H10" s="42">
        <f>ROUND(G10*E10,0)</f>
        <v>0</v>
      </c>
    </row>
    <row r="11" spans="1:10" ht="25.5" x14ac:dyDescent="0.2">
      <c r="A11" s="58">
        <v>1.3</v>
      </c>
      <c r="B11" s="3" t="s">
        <v>7</v>
      </c>
      <c r="C11" s="2" t="s">
        <v>48</v>
      </c>
      <c r="D11" s="3" t="s">
        <v>20</v>
      </c>
      <c r="E11" s="38">
        <v>336</v>
      </c>
      <c r="F11" s="42"/>
      <c r="G11" s="43"/>
      <c r="H11" s="42">
        <f t="shared" ref="H11:H32" si="0">ROUND(G11*E11,0)</f>
        <v>0</v>
      </c>
    </row>
    <row r="12" spans="1:10" x14ac:dyDescent="0.2">
      <c r="A12" s="3">
        <v>1.4</v>
      </c>
      <c r="B12" s="3" t="s">
        <v>7</v>
      </c>
      <c r="C12" s="2" t="s">
        <v>46</v>
      </c>
      <c r="D12" s="3" t="s">
        <v>25</v>
      </c>
      <c r="E12" s="38">
        <v>7</v>
      </c>
      <c r="F12" s="42"/>
      <c r="G12" s="43"/>
      <c r="H12" s="42">
        <f t="shared" si="0"/>
        <v>0</v>
      </c>
    </row>
    <row r="13" spans="1:10" x14ac:dyDescent="0.2">
      <c r="A13" s="58">
        <v>1.5</v>
      </c>
      <c r="B13" s="3" t="s">
        <v>7</v>
      </c>
      <c r="C13" s="2" t="s">
        <v>47</v>
      </c>
      <c r="D13" s="3" t="s">
        <v>20</v>
      </c>
      <c r="E13" s="38">
        <v>320</v>
      </c>
      <c r="F13" s="42"/>
      <c r="G13" s="43"/>
      <c r="H13" s="42">
        <f t="shared" si="0"/>
        <v>0</v>
      </c>
    </row>
    <row r="14" spans="1:10" ht="25.5" x14ac:dyDescent="0.2">
      <c r="A14" s="3">
        <v>1.6</v>
      </c>
      <c r="B14" s="3" t="s">
        <v>7</v>
      </c>
      <c r="C14" s="2" t="s">
        <v>43</v>
      </c>
      <c r="D14" s="3" t="s">
        <v>22</v>
      </c>
      <c r="E14" s="38">
        <v>42</v>
      </c>
      <c r="F14" s="42"/>
      <c r="G14" s="43"/>
      <c r="H14" s="42">
        <f t="shared" si="0"/>
        <v>0</v>
      </c>
    </row>
    <row r="15" spans="1:10" x14ac:dyDescent="0.2">
      <c r="A15" s="58">
        <v>1.7</v>
      </c>
      <c r="B15" s="3" t="s">
        <v>7</v>
      </c>
      <c r="C15" s="2" t="s">
        <v>52</v>
      </c>
      <c r="D15" s="3" t="s">
        <v>20</v>
      </c>
      <c r="E15" s="38">
        <v>220</v>
      </c>
      <c r="F15" s="42"/>
      <c r="G15" s="43"/>
      <c r="H15" s="42">
        <f t="shared" si="0"/>
        <v>0</v>
      </c>
    </row>
    <row r="16" spans="1:10" ht="25.5" x14ac:dyDescent="0.2">
      <c r="A16" s="3">
        <v>1.8</v>
      </c>
      <c r="B16" s="3" t="s">
        <v>6</v>
      </c>
      <c r="C16" s="49" t="s">
        <v>49</v>
      </c>
      <c r="D16" s="3" t="s">
        <v>20</v>
      </c>
      <c r="E16" s="38">
        <v>45</v>
      </c>
      <c r="F16" s="42"/>
      <c r="G16" s="43"/>
      <c r="H16" s="42">
        <f t="shared" si="0"/>
        <v>0</v>
      </c>
    </row>
    <row r="17" spans="1:14" ht="63.75" x14ac:dyDescent="0.2">
      <c r="A17" s="58">
        <v>1.9</v>
      </c>
      <c r="B17" s="3" t="s">
        <v>17</v>
      </c>
      <c r="C17" s="49" t="s">
        <v>50</v>
      </c>
      <c r="D17" s="3" t="s">
        <v>21</v>
      </c>
      <c r="E17" s="38">
        <v>1</v>
      </c>
      <c r="F17" s="42"/>
      <c r="G17" s="43"/>
      <c r="H17" s="42">
        <f t="shared" si="0"/>
        <v>0</v>
      </c>
      <c r="K17" s="54"/>
      <c r="L17" s="55"/>
      <c r="M17" s="56"/>
      <c r="N17" s="54"/>
    </row>
    <row r="18" spans="1:14" x14ac:dyDescent="0.2">
      <c r="A18" s="87">
        <v>2</v>
      </c>
      <c r="B18" s="52"/>
      <c r="C18" s="63" t="s">
        <v>53</v>
      </c>
      <c r="D18" s="68"/>
      <c r="E18" s="69"/>
      <c r="F18" s="70"/>
      <c r="G18" s="71"/>
      <c r="H18" s="42">
        <f t="shared" si="0"/>
        <v>0</v>
      </c>
    </row>
    <row r="19" spans="1:14" ht="25.5" x14ac:dyDescent="0.2">
      <c r="A19" s="88">
        <v>2.1</v>
      </c>
      <c r="B19" s="3" t="s">
        <v>16</v>
      </c>
      <c r="C19" s="44" t="s">
        <v>44</v>
      </c>
      <c r="D19" s="3" t="s">
        <v>20</v>
      </c>
      <c r="E19" s="38">
        <v>370</v>
      </c>
      <c r="F19" s="45"/>
      <c r="G19" s="46"/>
      <c r="H19" s="42">
        <f t="shared" si="0"/>
        <v>0</v>
      </c>
    </row>
    <row r="20" spans="1:14" x14ac:dyDescent="0.2">
      <c r="A20" s="87">
        <v>3</v>
      </c>
      <c r="B20" s="52"/>
      <c r="C20" s="63" t="s">
        <v>123</v>
      </c>
      <c r="D20" s="68"/>
      <c r="E20" s="69"/>
      <c r="F20" s="70"/>
      <c r="G20" s="71"/>
      <c r="H20" s="42">
        <f t="shared" si="0"/>
        <v>0</v>
      </c>
    </row>
    <row r="21" spans="1:14" ht="63.75" x14ac:dyDescent="0.2">
      <c r="A21" s="3">
        <v>3.1</v>
      </c>
      <c r="B21" s="3" t="s">
        <v>26</v>
      </c>
      <c r="C21" s="44" t="s">
        <v>124</v>
      </c>
      <c r="D21" s="3" t="s">
        <v>20</v>
      </c>
      <c r="E21" s="38">
        <v>370</v>
      </c>
      <c r="F21" s="45"/>
      <c r="G21" s="46"/>
      <c r="H21" s="42">
        <f t="shared" si="0"/>
        <v>0</v>
      </c>
    </row>
    <row r="22" spans="1:14" ht="42.75" customHeight="1" x14ac:dyDescent="0.2">
      <c r="A22" s="3">
        <v>3.2</v>
      </c>
      <c r="B22" s="3" t="s">
        <v>13</v>
      </c>
      <c r="C22" s="50" t="s">
        <v>165</v>
      </c>
      <c r="D22" s="47" t="s">
        <v>9</v>
      </c>
      <c r="E22" s="41">
        <v>220</v>
      </c>
      <c r="F22" s="48"/>
      <c r="G22" s="46"/>
      <c r="H22" s="42">
        <f t="shared" si="0"/>
        <v>0</v>
      </c>
    </row>
    <row r="23" spans="1:14" x14ac:dyDescent="0.2">
      <c r="A23" s="87">
        <v>4</v>
      </c>
      <c r="B23" s="52"/>
      <c r="C23" s="63" t="s">
        <v>30</v>
      </c>
      <c r="D23" s="68"/>
      <c r="E23" s="69"/>
      <c r="F23" s="70"/>
      <c r="G23" s="71"/>
      <c r="H23" s="42"/>
    </row>
    <row r="24" spans="1:14" x14ac:dyDescent="0.2">
      <c r="A24" s="3">
        <v>4.0999999999999996</v>
      </c>
      <c r="B24" s="66" t="s">
        <v>29</v>
      </c>
      <c r="C24" s="49" t="s">
        <v>31</v>
      </c>
      <c r="D24" s="38" t="s">
        <v>28</v>
      </c>
      <c r="E24" s="38">
        <v>28</v>
      </c>
      <c r="F24" s="45"/>
      <c r="G24" s="46"/>
      <c r="H24" s="42">
        <f t="shared" si="0"/>
        <v>0</v>
      </c>
    </row>
    <row r="25" spans="1:14" x14ac:dyDescent="0.2">
      <c r="A25" s="3">
        <v>4.2</v>
      </c>
      <c r="B25" s="66" t="s">
        <v>29</v>
      </c>
      <c r="C25" s="49" t="s">
        <v>32</v>
      </c>
      <c r="D25" s="38" t="s">
        <v>28</v>
      </c>
      <c r="E25" s="38">
        <v>9</v>
      </c>
      <c r="F25" s="45"/>
      <c r="G25" s="46"/>
      <c r="H25" s="42">
        <f t="shared" si="0"/>
        <v>0</v>
      </c>
    </row>
    <row r="26" spans="1:14" x14ac:dyDescent="0.2">
      <c r="A26" s="3">
        <v>4.3</v>
      </c>
      <c r="B26" s="66" t="s">
        <v>29</v>
      </c>
      <c r="C26" s="49" t="s">
        <v>51</v>
      </c>
      <c r="D26" s="67" t="s">
        <v>28</v>
      </c>
      <c r="E26" s="38">
        <v>28</v>
      </c>
      <c r="F26" s="45"/>
      <c r="G26" s="46"/>
      <c r="H26" s="42">
        <f t="shared" si="0"/>
        <v>0</v>
      </c>
    </row>
    <row r="27" spans="1:14" x14ac:dyDescent="0.2">
      <c r="A27" s="3">
        <v>4.4000000000000004</v>
      </c>
      <c r="B27" s="66" t="s">
        <v>29</v>
      </c>
      <c r="C27" s="49" t="s">
        <v>42</v>
      </c>
      <c r="D27" s="67" t="s">
        <v>28</v>
      </c>
      <c r="E27" s="38">
        <v>9</v>
      </c>
      <c r="F27" s="45"/>
      <c r="G27" s="46"/>
      <c r="H27" s="42">
        <f t="shared" si="0"/>
        <v>0</v>
      </c>
    </row>
    <row r="28" spans="1:14" x14ac:dyDescent="0.2">
      <c r="A28" s="87">
        <v>5</v>
      </c>
      <c r="B28" s="52"/>
      <c r="C28" s="63" t="s">
        <v>14</v>
      </c>
      <c r="D28" s="68"/>
      <c r="E28" s="69"/>
      <c r="F28" s="70"/>
      <c r="G28" s="71"/>
      <c r="H28" s="42">
        <f t="shared" si="0"/>
        <v>0</v>
      </c>
    </row>
    <row r="29" spans="1:14" ht="25.5" x14ac:dyDescent="0.2">
      <c r="A29" s="3">
        <v>5.0999999999999996</v>
      </c>
      <c r="B29" s="3" t="s">
        <v>33</v>
      </c>
      <c r="C29" s="49" t="s">
        <v>34</v>
      </c>
      <c r="D29" s="3" t="s">
        <v>20</v>
      </c>
      <c r="E29" s="38">
        <v>540</v>
      </c>
      <c r="F29" s="45"/>
      <c r="G29" s="46"/>
      <c r="H29" s="42">
        <f t="shared" si="0"/>
        <v>0</v>
      </c>
    </row>
    <row r="30" spans="1:14" x14ac:dyDescent="0.2">
      <c r="A30" s="3">
        <v>5.2</v>
      </c>
      <c r="B30" s="3" t="s">
        <v>33</v>
      </c>
      <c r="C30" s="49" t="s">
        <v>35</v>
      </c>
      <c r="D30" s="3" t="s">
        <v>20</v>
      </c>
      <c r="E30" s="38">
        <v>70</v>
      </c>
      <c r="F30" s="45"/>
      <c r="G30" s="46"/>
      <c r="H30" s="42">
        <f t="shared" si="0"/>
        <v>0</v>
      </c>
    </row>
    <row r="31" spans="1:14" ht="38.25" x14ac:dyDescent="0.2">
      <c r="A31" s="3">
        <v>5.3</v>
      </c>
      <c r="B31" s="3" t="s">
        <v>33</v>
      </c>
      <c r="C31" s="49" t="s">
        <v>36</v>
      </c>
      <c r="D31" s="3" t="s">
        <v>20</v>
      </c>
      <c r="E31" s="38">
        <v>13</v>
      </c>
      <c r="F31" s="45"/>
      <c r="G31" s="46"/>
      <c r="H31" s="42">
        <f t="shared" si="0"/>
        <v>0</v>
      </c>
    </row>
    <row r="32" spans="1:14" ht="26.25" thickBot="1" x14ac:dyDescent="0.25">
      <c r="A32" s="118">
        <v>5.4</v>
      </c>
      <c r="B32" s="118" t="s">
        <v>33</v>
      </c>
      <c r="C32" s="119" t="s">
        <v>37</v>
      </c>
      <c r="D32" s="118" t="s">
        <v>20</v>
      </c>
      <c r="E32" s="120">
        <v>11</v>
      </c>
      <c r="F32" s="121"/>
      <c r="G32" s="122"/>
      <c r="H32" s="123">
        <f t="shared" si="0"/>
        <v>0</v>
      </c>
    </row>
    <row r="33" spans="1:8" ht="24.75" customHeight="1" thickBot="1" x14ac:dyDescent="0.3">
      <c r="A33" s="238" t="s">
        <v>125</v>
      </c>
      <c r="B33" s="239"/>
      <c r="C33" s="239"/>
      <c r="D33" s="239"/>
      <c r="E33" s="239"/>
      <c r="F33" s="239"/>
      <c r="G33" s="239"/>
      <c r="H33" s="124">
        <f>SUM(H10:H32)</f>
        <v>0</v>
      </c>
    </row>
  </sheetData>
  <mergeCells count="7">
    <mergeCell ref="A33:G33"/>
    <mergeCell ref="A5:H5"/>
    <mergeCell ref="A6:H6"/>
    <mergeCell ref="B2:C2"/>
    <mergeCell ref="B3:C3"/>
    <mergeCell ref="D3:F3"/>
    <mergeCell ref="A4:D4"/>
  </mergeCells>
  <conditionalFormatting sqref="J7:J8">
    <cfRule type="cellIs" dxfId="0" priority="1" operator="notEqual">
      <formula>0</formula>
    </cfRule>
  </conditionalFormatting>
  <printOptions horizontalCentered="1"/>
  <pageMargins left="0.70866141732283472" right="0.70866141732283472" top="0.74803149606299213" bottom="0.74803149606299213" header="0.31496062992125984" footer="0.31496062992125984"/>
  <pageSetup paperSize="9" scale="65" orientation="portrait" r:id="rId1"/>
  <colBreaks count="1" manualBreakCount="1">
    <brk id="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2"/>
  <sheetViews>
    <sheetView view="pageBreakPreview" zoomScaleSheetLayoutView="100" workbookViewId="0">
      <selection activeCell="F16" sqref="F16"/>
    </sheetView>
  </sheetViews>
  <sheetFormatPr baseColWidth="10" defaultRowHeight="12.75" x14ac:dyDescent="0.2"/>
  <cols>
    <col min="1" max="1" width="11.5703125" bestFit="1" customWidth="1"/>
    <col min="2" max="2" width="36.42578125" customWidth="1"/>
    <col min="3" max="3" width="16.5703125" style="32" bestFit="1" customWidth="1"/>
    <col min="5" max="5" width="2.7109375" customWidth="1"/>
    <col min="6" max="6" width="21.85546875" style="128" bestFit="1" customWidth="1"/>
  </cols>
  <sheetData>
    <row r="1" spans="1:9" ht="26.25" x14ac:dyDescent="0.2">
      <c r="A1" s="136"/>
      <c r="B1" s="142"/>
      <c r="C1" s="142"/>
      <c r="D1" s="142"/>
      <c r="E1" s="142"/>
      <c r="F1" s="143"/>
      <c r="G1" s="144"/>
      <c r="H1" s="144"/>
      <c r="I1" s="145"/>
    </row>
    <row r="2" spans="1:9" ht="23.25" x14ac:dyDescent="0.2">
      <c r="A2" s="136"/>
      <c r="B2" s="142"/>
      <c r="C2"/>
      <c r="D2" s="142"/>
      <c r="E2" s="142"/>
      <c r="F2" s="143"/>
      <c r="G2" s="144"/>
      <c r="H2" s="144"/>
      <c r="I2" s="146"/>
    </row>
    <row r="3" spans="1:9" ht="23.25" x14ac:dyDescent="0.2">
      <c r="A3" s="136"/>
      <c r="B3" s="137"/>
      <c r="C3" s="137"/>
      <c r="D3" s="137"/>
      <c r="E3" s="137"/>
      <c r="F3" s="138"/>
      <c r="G3" s="147"/>
      <c r="H3" s="147"/>
      <c r="I3" s="146"/>
    </row>
    <row r="4" spans="1:9" ht="15" x14ac:dyDescent="0.2">
      <c r="A4" s="136"/>
      <c r="B4" s="140"/>
      <c r="C4" s="140"/>
      <c r="D4" s="140"/>
      <c r="E4" s="125"/>
      <c r="F4" s="37"/>
      <c r="G4" s="62"/>
      <c r="H4" s="7"/>
      <c r="I4" s="7"/>
    </row>
    <row r="5" spans="1:9" ht="18" x14ac:dyDescent="0.2">
      <c r="A5" s="136"/>
      <c r="B5" s="140"/>
      <c r="C5" s="140"/>
      <c r="D5" s="140"/>
      <c r="E5" s="141"/>
      <c r="F5" s="141"/>
      <c r="G5" s="148"/>
      <c r="H5" s="7"/>
      <c r="I5" s="7"/>
    </row>
    <row r="6" spans="1:9" ht="18" x14ac:dyDescent="0.2">
      <c r="A6" s="136"/>
      <c r="B6" s="140"/>
      <c r="C6" s="140"/>
      <c r="D6" s="140"/>
      <c r="E6" s="141"/>
      <c r="F6" s="141"/>
      <c r="G6" s="148"/>
      <c r="H6" s="7"/>
      <c r="I6" s="7"/>
    </row>
    <row r="7" spans="1:9" ht="9.75" customHeight="1" thickBot="1" x14ac:dyDescent="0.25">
      <c r="A7" s="109"/>
      <c r="B7" s="85"/>
      <c r="C7" s="85"/>
      <c r="D7" s="85"/>
      <c r="E7" s="85"/>
      <c r="F7" s="127"/>
    </row>
    <row r="8" spans="1:9" ht="18.75" x14ac:dyDescent="0.3">
      <c r="A8" s="279" t="s">
        <v>177</v>
      </c>
      <c r="B8" s="280"/>
      <c r="C8" s="281"/>
      <c r="D8" s="281"/>
      <c r="E8" s="281"/>
      <c r="F8" s="282"/>
    </row>
    <row r="9" spans="1:9" ht="18.75" x14ac:dyDescent="0.3">
      <c r="A9" s="202"/>
      <c r="B9" s="204" t="s">
        <v>429</v>
      </c>
      <c r="C9" s="203"/>
      <c r="D9" s="203"/>
      <c r="E9" s="203"/>
      <c r="F9" s="206">
        <f>'DEPOSITO Gral'!H74</f>
        <v>0</v>
      </c>
    </row>
    <row r="10" spans="1:9" ht="18.75" x14ac:dyDescent="0.3">
      <c r="A10" s="202"/>
      <c r="B10" s="204" t="s">
        <v>430</v>
      </c>
      <c r="C10" s="203"/>
      <c r="D10" s="203"/>
      <c r="E10" s="203"/>
      <c r="F10" s="206">
        <f>'Aislación Terraza'!F43</f>
        <v>0</v>
      </c>
    </row>
    <row r="11" spans="1:9" ht="18.75" x14ac:dyDescent="0.3">
      <c r="A11" s="202"/>
      <c r="B11" s="204" t="s">
        <v>431</v>
      </c>
      <c r="C11" s="203"/>
      <c r="D11" s="203"/>
      <c r="E11" s="203"/>
      <c r="F11" s="206">
        <f>'sexto piso'!F50</f>
        <v>0</v>
      </c>
    </row>
    <row r="12" spans="1:9" ht="18.75" x14ac:dyDescent="0.3">
      <c r="A12" s="202"/>
      <c r="B12" s="204" t="s">
        <v>432</v>
      </c>
      <c r="C12" s="203" t="s">
        <v>437</v>
      </c>
      <c r="D12" s="203"/>
      <c r="E12" s="203"/>
      <c r="F12" s="206">
        <f>'Ex Urgencia'!F72</f>
        <v>0</v>
      </c>
    </row>
    <row r="13" spans="1:9" ht="18.75" x14ac:dyDescent="0.3">
      <c r="A13" s="202"/>
      <c r="B13" s="204" t="s">
        <v>433</v>
      </c>
      <c r="C13" s="203"/>
      <c r="D13" s="203"/>
      <c r="E13" s="203"/>
      <c r="F13" s="205"/>
    </row>
    <row r="14" spans="1:9" ht="18.75" x14ac:dyDescent="0.3">
      <c r="A14" s="202"/>
      <c r="B14" s="204" t="s">
        <v>434</v>
      </c>
      <c r="C14" s="203"/>
      <c r="D14" s="203"/>
      <c r="E14" s="203"/>
      <c r="F14" s="207"/>
    </row>
    <row r="15" spans="1:9" ht="18.75" x14ac:dyDescent="0.3">
      <c r="A15" s="202"/>
      <c r="B15" s="204" t="s">
        <v>435</v>
      </c>
      <c r="C15" s="203"/>
      <c r="D15" s="203"/>
      <c r="E15" s="203"/>
      <c r="F15" s="203"/>
    </row>
    <row r="16" spans="1:9" ht="18.75" x14ac:dyDescent="0.3">
      <c r="A16" s="202"/>
      <c r="B16" s="204" t="s">
        <v>438</v>
      </c>
      <c r="C16" s="203"/>
      <c r="D16" s="203"/>
      <c r="E16" s="203"/>
      <c r="F16" s="203"/>
    </row>
    <row r="17" spans="1:6" ht="18.75" x14ac:dyDescent="0.3">
      <c r="A17" s="202"/>
      <c r="B17" s="204" t="s">
        <v>436</v>
      </c>
      <c r="C17" s="203"/>
      <c r="D17" s="203"/>
      <c r="E17" s="203"/>
      <c r="F17" s="203"/>
    </row>
    <row r="18" spans="1:6" ht="15.75" x14ac:dyDescent="0.25">
      <c r="A18" s="283" t="s">
        <v>125</v>
      </c>
      <c r="B18" s="284"/>
      <c r="C18" s="284"/>
      <c r="D18" s="284"/>
      <c r="E18" s="284"/>
      <c r="F18" s="150">
        <f>SUM(F9:F17)</f>
        <v>0</v>
      </c>
    </row>
    <row r="19" spans="1:6" x14ac:dyDescent="0.2">
      <c r="A19" s="129"/>
      <c r="C19" s="130"/>
      <c r="F19" s="131"/>
    </row>
    <row r="20" spans="1:6" x14ac:dyDescent="0.2">
      <c r="A20" s="149" t="s">
        <v>179</v>
      </c>
      <c r="C20" s="130"/>
      <c r="F20" s="131"/>
    </row>
    <row r="21" spans="1:6" x14ac:dyDescent="0.2">
      <c r="A21" s="129"/>
      <c r="C21" s="130"/>
      <c r="F21" s="139"/>
    </row>
    <row r="22" spans="1:6" ht="13.5" thickBot="1" x14ac:dyDescent="0.25">
      <c r="A22" s="132"/>
      <c r="B22" s="133"/>
      <c r="C22" s="134"/>
      <c r="D22" s="133"/>
      <c r="E22" s="133"/>
      <c r="F22" s="135"/>
    </row>
  </sheetData>
  <mergeCells count="2">
    <mergeCell ref="A8:F8"/>
    <mergeCell ref="A18:E18"/>
  </mergeCells>
  <printOptions horizontalCentered="1"/>
  <pageMargins left="0.70866141732283472" right="0.70866141732283472" top="0.74803149606299213" bottom="0.74803149606299213" header="0.31496062992125984" footer="0.31496062992125984"/>
  <pageSetup paperSize="9" scale="88" orientation="portrait" horizontalDpi="300" verticalDpi="300"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2"/>
  <sheetViews>
    <sheetView topLeftCell="A53" workbookViewId="0">
      <selection activeCell="K53" sqref="K53"/>
    </sheetView>
  </sheetViews>
  <sheetFormatPr baseColWidth="10" defaultRowHeight="12.75" x14ac:dyDescent="0.2"/>
  <cols>
    <col min="1" max="1" width="5.42578125" customWidth="1"/>
    <col min="2" max="2" width="57.28515625" customWidth="1"/>
    <col min="3" max="3" width="9.85546875" customWidth="1"/>
    <col min="4" max="4" width="10.7109375" customWidth="1"/>
    <col min="5" max="5" width="12.7109375" customWidth="1"/>
    <col min="6" max="6" width="17.140625" customWidth="1"/>
  </cols>
  <sheetData>
    <row r="1" spans="1:6" x14ac:dyDescent="0.2">
      <c r="B1" s="151"/>
      <c r="E1" s="152"/>
      <c r="F1" s="153"/>
    </row>
    <row r="2" spans="1:6" x14ac:dyDescent="0.2">
      <c r="B2" s="151"/>
      <c r="E2" s="152"/>
      <c r="F2" s="153"/>
    </row>
    <row r="3" spans="1:6" ht="27" thickBot="1" x14ac:dyDescent="0.45">
      <c r="A3" s="253" t="s">
        <v>187</v>
      </c>
      <c r="B3" s="253"/>
      <c r="C3" s="253"/>
      <c r="D3" s="253"/>
      <c r="E3" s="253"/>
      <c r="F3" s="253"/>
    </row>
    <row r="4" spans="1:6" ht="34.5" customHeight="1" thickBot="1" x14ac:dyDescent="0.35">
      <c r="A4" s="254" t="s">
        <v>424</v>
      </c>
      <c r="B4" s="255"/>
      <c r="C4" s="255"/>
      <c r="D4" s="255"/>
      <c r="E4" s="255"/>
      <c r="F4" s="256"/>
    </row>
    <row r="5" spans="1:6" ht="13.5" thickBot="1" x14ac:dyDescent="0.25">
      <c r="A5" t="s">
        <v>398</v>
      </c>
      <c r="B5" s="151"/>
      <c r="E5" s="154"/>
      <c r="F5" s="155"/>
    </row>
    <row r="6" spans="1:6" ht="15" x14ac:dyDescent="0.25">
      <c r="A6" s="156" t="s">
        <v>0</v>
      </c>
      <c r="B6" s="157" t="s">
        <v>189</v>
      </c>
      <c r="C6" s="158" t="s">
        <v>190</v>
      </c>
      <c r="D6" s="158" t="s">
        <v>191</v>
      </c>
      <c r="E6" s="159" t="s">
        <v>192</v>
      </c>
      <c r="F6" s="160" t="s">
        <v>5</v>
      </c>
    </row>
    <row r="7" spans="1:6" ht="26.25" customHeight="1" x14ac:dyDescent="0.25">
      <c r="A7" s="257" t="s">
        <v>193</v>
      </c>
      <c r="B7" s="258"/>
      <c r="C7" s="161"/>
      <c r="D7" s="161"/>
      <c r="E7" s="162"/>
      <c r="F7" s="163"/>
    </row>
    <row r="8" spans="1:6" ht="15" x14ac:dyDescent="0.25">
      <c r="A8" s="164" t="s">
        <v>194</v>
      </c>
      <c r="B8" s="165" t="s">
        <v>195</v>
      </c>
      <c r="C8" s="161"/>
      <c r="D8" s="161"/>
      <c r="E8" s="162"/>
      <c r="F8" s="163"/>
    </row>
    <row r="9" spans="1:6" ht="15" x14ac:dyDescent="0.25">
      <c r="A9" s="164" t="s">
        <v>196</v>
      </c>
      <c r="B9" s="166" t="s">
        <v>197</v>
      </c>
      <c r="C9" s="167" t="s">
        <v>3</v>
      </c>
      <c r="D9" s="167">
        <v>1</v>
      </c>
      <c r="E9" s="184"/>
      <c r="F9" s="168"/>
    </row>
    <row r="10" spans="1:6" ht="15" x14ac:dyDescent="0.25">
      <c r="A10" s="169" t="s">
        <v>198</v>
      </c>
      <c r="B10" s="170" t="s">
        <v>199</v>
      </c>
      <c r="C10" s="171"/>
      <c r="D10" s="171"/>
      <c r="E10" s="188"/>
      <c r="F10" s="168"/>
    </row>
    <row r="11" spans="1:6" ht="15" x14ac:dyDescent="0.25">
      <c r="A11" s="172" t="s">
        <v>200</v>
      </c>
      <c r="B11" s="170" t="s">
        <v>201</v>
      </c>
      <c r="C11" s="173"/>
      <c r="D11" s="174"/>
      <c r="E11" s="188"/>
      <c r="F11" s="168"/>
    </row>
    <row r="12" spans="1:6" ht="17.25" x14ac:dyDescent="0.25">
      <c r="A12" s="173" t="s">
        <v>202</v>
      </c>
      <c r="B12" s="192" t="s">
        <v>418</v>
      </c>
      <c r="C12" s="173" t="s">
        <v>203</v>
      </c>
      <c r="D12" s="174">
        <f>312+570</f>
        <v>882</v>
      </c>
      <c r="E12" s="189"/>
      <c r="F12" s="200"/>
    </row>
    <row r="13" spans="1:6" ht="17.25" x14ac:dyDescent="0.25">
      <c r="A13" s="173" t="s">
        <v>204</v>
      </c>
      <c r="B13" s="175" t="s">
        <v>205</v>
      </c>
      <c r="C13" s="173" t="s">
        <v>203</v>
      </c>
      <c r="D13" s="174">
        <v>102.5</v>
      </c>
      <c r="E13" s="189"/>
      <c r="F13" s="200"/>
    </row>
    <row r="14" spans="1:6" ht="15" x14ac:dyDescent="0.25">
      <c r="A14" s="173" t="s">
        <v>206</v>
      </c>
      <c r="B14" s="175" t="s">
        <v>207</v>
      </c>
      <c r="C14" s="173" t="s">
        <v>9</v>
      </c>
      <c r="D14" s="174">
        <v>267</v>
      </c>
      <c r="E14" s="189"/>
      <c r="F14" s="200"/>
    </row>
    <row r="15" spans="1:6" ht="15" x14ac:dyDescent="0.25">
      <c r="A15" s="173" t="s">
        <v>208</v>
      </c>
      <c r="B15" s="175" t="s">
        <v>209</v>
      </c>
      <c r="C15" s="173" t="s">
        <v>9</v>
      </c>
      <c r="D15" s="174">
        <v>91.5</v>
      </c>
      <c r="E15" s="189"/>
      <c r="F15" s="200"/>
    </row>
    <row r="16" spans="1:6" ht="15" x14ac:dyDescent="0.25">
      <c r="A16" s="173" t="s">
        <v>210</v>
      </c>
      <c r="B16" s="175" t="s">
        <v>211</v>
      </c>
      <c r="C16" s="173" t="s">
        <v>9</v>
      </c>
      <c r="D16" s="174">
        <v>84</v>
      </c>
      <c r="E16" s="189"/>
      <c r="F16" s="200"/>
    </row>
    <row r="17" spans="1:6" ht="15" x14ac:dyDescent="0.25">
      <c r="A17" s="173" t="s">
        <v>212</v>
      </c>
      <c r="B17" s="192" t="s">
        <v>419</v>
      </c>
      <c r="C17" s="191" t="s">
        <v>9</v>
      </c>
      <c r="D17" s="174">
        <v>570</v>
      </c>
      <c r="E17" s="189"/>
      <c r="F17" s="200"/>
    </row>
    <row r="18" spans="1:6" ht="15" x14ac:dyDescent="0.25">
      <c r="A18" s="176" t="s">
        <v>213</v>
      </c>
      <c r="B18" s="177" t="s">
        <v>214</v>
      </c>
      <c r="C18" s="173"/>
      <c r="D18" s="174"/>
      <c r="E18" s="189"/>
      <c r="F18" s="200"/>
    </row>
    <row r="19" spans="1:6" ht="15" x14ac:dyDescent="0.25">
      <c r="A19" s="173" t="s">
        <v>215</v>
      </c>
      <c r="B19" s="175" t="s">
        <v>216</v>
      </c>
      <c r="C19" s="173" t="s">
        <v>9</v>
      </c>
      <c r="D19" s="174">
        <v>312</v>
      </c>
      <c r="E19" s="189"/>
      <c r="F19" s="200"/>
    </row>
    <row r="20" spans="1:6" ht="15" x14ac:dyDescent="0.25">
      <c r="A20" s="173" t="s">
        <v>217</v>
      </c>
      <c r="B20" s="192" t="s">
        <v>417</v>
      </c>
      <c r="C20" s="173" t="s">
        <v>9</v>
      </c>
      <c r="D20" s="174">
        <v>570</v>
      </c>
      <c r="E20" s="189"/>
      <c r="F20" s="200"/>
    </row>
    <row r="21" spans="1:6" ht="15" x14ac:dyDescent="0.25">
      <c r="A21" s="173" t="s">
        <v>218</v>
      </c>
      <c r="B21" s="192" t="s">
        <v>420</v>
      </c>
      <c r="C21" s="173" t="s">
        <v>9</v>
      </c>
      <c r="D21" s="174">
        <v>534</v>
      </c>
      <c r="E21" s="189"/>
      <c r="F21" s="200"/>
    </row>
    <row r="22" spans="1:6" ht="15" x14ac:dyDescent="0.25">
      <c r="A22" s="173"/>
      <c r="B22" s="192" t="s">
        <v>425</v>
      </c>
      <c r="C22" s="191" t="s">
        <v>9</v>
      </c>
      <c r="D22" s="174">
        <v>570</v>
      </c>
      <c r="E22" s="189"/>
      <c r="F22" s="200"/>
    </row>
    <row r="23" spans="1:6" ht="15" x14ac:dyDescent="0.25">
      <c r="A23" s="176" t="s">
        <v>221</v>
      </c>
      <c r="B23" s="177" t="s">
        <v>222</v>
      </c>
      <c r="C23" s="173"/>
      <c r="D23" s="174"/>
      <c r="E23" s="189"/>
      <c r="F23" s="200"/>
    </row>
    <row r="24" spans="1:6" ht="17.25" x14ac:dyDescent="0.25">
      <c r="A24" s="173" t="s">
        <v>223</v>
      </c>
      <c r="B24" s="175" t="s">
        <v>224</v>
      </c>
      <c r="C24" s="173" t="s">
        <v>203</v>
      </c>
      <c r="D24" s="174">
        <v>32</v>
      </c>
      <c r="E24" s="189"/>
      <c r="F24" s="200"/>
    </row>
    <row r="25" spans="1:6" ht="17.25" x14ac:dyDescent="0.25">
      <c r="A25" s="173" t="s">
        <v>225</v>
      </c>
      <c r="B25" s="175" t="s">
        <v>226</v>
      </c>
      <c r="C25" s="173" t="s">
        <v>203</v>
      </c>
      <c r="D25" s="174">
        <v>15</v>
      </c>
      <c r="E25" s="189"/>
      <c r="F25" s="200"/>
    </row>
    <row r="26" spans="1:6" ht="15" x14ac:dyDescent="0.25">
      <c r="A26" s="173" t="s">
        <v>227</v>
      </c>
      <c r="B26" s="192" t="s">
        <v>421</v>
      </c>
      <c r="C26" s="191" t="s">
        <v>39</v>
      </c>
      <c r="D26" s="194">
        <v>56</v>
      </c>
      <c r="E26" s="195"/>
      <c r="F26" s="201"/>
    </row>
    <row r="27" spans="1:6" ht="15" x14ac:dyDescent="0.25">
      <c r="A27" s="173" t="s">
        <v>228</v>
      </c>
      <c r="B27" s="175" t="s">
        <v>229</v>
      </c>
      <c r="C27" s="173" t="s">
        <v>3</v>
      </c>
      <c r="D27" s="174">
        <v>5</v>
      </c>
      <c r="E27" s="189"/>
      <c r="F27" s="200"/>
    </row>
    <row r="28" spans="1:6" ht="15" x14ac:dyDescent="0.25">
      <c r="A28" s="173" t="s">
        <v>230</v>
      </c>
      <c r="B28" s="175" t="s">
        <v>231</v>
      </c>
      <c r="C28" s="173" t="s">
        <v>39</v>
      </c>
      <c r="D28" s="174">
        <v>46</v>
      </c>
      <c r="E28" s="189"/>
      <c r="F28" s="200"/>
    </row>
    <row r="29" spans="1:6" ht="15" x14ac:dyDescent="0.25">
      <c r="A29" s="173" t="s">
        <v>232</v>
      </c>
      <c r="B29" s="175" t="s">
        <v>233</v>
      </c>
      <c r="C29" s="173" t="s">
        <v>39</v>
      </c>
      <c r="D29" s="174">
        <v>28</v>
      </c>
      <c r="E29" s="189"/>
      <c r="F29" s="200"/>
    </row>
    <row r="30" spans="1:6" ht="15" x14ac:dyDescent="0.25">
      <c r="A30" s="173" t="s">
        <v>234</v>
      </c>
      <c r="B30" s="175" t="s">
        <v>235</v>
      </c>
      <c r="C30" s="173" t="s">
        <v>39</v>
      </c>
      <c r="D30" s="174">
        <v>119</v>
      </c>
      <c r="E30" s="189"/>
      <c r="F30" s="200"/>
    </row>
    <row r="31" spans="1:6" ht="15" x14ac:dyDescent="0.25">
      <c r="A31" s="173" t="s">
        <v>236</v>
      </c>
      <c r="B31" s="175" t="s">
        <v>237</v>
      </c>
      <c r="C31" s="173" t="s">
        <v>39</v>
      </c>
      <c r="D31" s="174">
        <v>167</v>
      </c>
      <c r="E31" s="189"/>
      <c r="F31" s="200"/>
    </row>
    <row r="32" spans="1:6" ht="59.25" customHeight="1" x14ac:dyDescent="0.25">
      <c r="A32" s="173" t="s">
        <v>240</v>
      </c>
      <c r="B32" s="178" t="s">
        <v>241</v>
      </c>
      <c r="C32" s="173" t="s">
        <v>39</v>
      </c>
      <c r="D32" s="174">
        <v>12</v>
      </c>
      <c r="E32" s="189"/>
      <c r="F32" s="168"/>
    </row>
    <row r="33" spans="1:6" ht="60" customHeight="1" x14ac:dyDescent="0.25">
      <c r="A33" s="173" t="s">
        <v>242</v>
      </c>
      <c r="B33" s="178" t="s">
        <v>243</v>
      </c>
      <c r="C33" s="173" t="s">
        <v>190</v>
      </c>
      <c r="D33" s="174">
        <v>4</v>
      </c>
      <c r="E33" s="189"/>
      <c r="F33" s="168"/>
    </row>
    <row r="34" spans="1:6" ht="59.25" customHeight="1" x14ac:dyDescent="0.25">
      <c r="A34" s="173" t="s">
        <v>244</v>
      </c>
      <c r="B34" s="178" t="s">
        <v>245</v>
      </c>
      <c r="C34" s="173" t="s">
        <v>190</v>
      </c>
      <c r="D34" s="174">
        <v>2</v>
      </c>
      <c r="E34" s="189"/>
      <c r="F34" s="168"/>
    </row>
    <row r="35" spans="1:6" ht="26.25" x14ac:dyDescent="0.25">
      <c r="A35" s="173" t="s">
        <v>246</v>
      </c>
      <c r="B35" s="178" t="s">
        <v>247</v>
      </c>
      <c r="C35" s="173" t="s">
        <v>9</v>
      </c>
      <c r="D35" s="174">
        <v>110</v>
      </c>
      <c r="E35" s="189"/>
      <c r="F35" s="168"/>
    </row>
    <row r="36" spans="1:6" ht="33.75" customHeight="1" x14ac:dyDescent="0.25">
      <c r="A36" s="173" t="s">
        <v>250</v>
      </c>
      <c r="B36" s="193" t="s">
        <v>415</v>
      </c>
      <c r="C36" s="173" t="s">
        <v>9</v>
      </c>
      <c r="D36" s="174">
        <v>110</v>
      </c>
      <c r="E36" s="189"/>
      <c r="F36" s="168"/>
    </row>
    <row r="37" spans="1:6" ht="27" customHeight="1" x14ac:dyDescent="0.25">
      <c r="A37" s="173" t="s">
        <v>251</v>
      </c>
      <c r="B37" s="193" t="s">
        <v>416</v>
      </c>
      <c r="C37" s="173" t="s">
        <v>9</v>
      </c>
      <c r="D37" s="174">
        <v>90</v>
      </c>
      <c r="E37" s="189"/>
      <c r="F37" s="168"/>
    </row>
    <row r="38" spans="1:6" ht="15" x14ac:dyDescent="0.25">
      <c r="A38" s="176" t="s">
        <v>252</v>
      </c>
      <c r="B38" s="177" t="s">
        <v>253</v>
      </c>
      <c r="C38" s="173" t="s">
        <v>39</v>
      </c>
      <c r="D38" s="174"/>
      <c r="E38" s="189"/>
      <c r="F38" s="168"/>
    </row>
    <row r="39" spans="1:6" ht="15" x14ac:dyDescent="0.25">
      <c r="A39" s="173" t="s">
        <v>254</v>
      </c>
      <c r="B39" s="175" t="s">
        <v>255</v>
      </c>
      <c r="C39" s="173" t="s">
        <v>9</v>
      </c>
      <c r="D39" s="174">
        <v>230</v>
      </c>
      <c r="E39" s="189"/>
      <c r="F39" s="168"/>
    </row>
    <row r="40" spans="1:6" ht="15" x14ac:dyDescent="0.25">
      <c r="A40" s="173" t="s">
        <v>258</v>
      </c>
      <c r="B40" s="175" t="s">
        <v>259</v>
      </c>
      <c r="C40" s="173" t="s">
        <v>3</v>
      </c>
      <c r="D40" s="174">
        <v>30</v>
      </c>
      <c r="E40" s="189"/>
      <c r="F40" s="168"/>
    </row>
    <row r="41" spans="1:6" ht="15" x14ac:dyDescent="0.25">
      <c r="A41" s="173" t="s">
        <v>260</v>
      </c>
      <c r="B41" s="175" t="s">
        <v>261</v>
      </c>
      <c r="C41" s="173" t="s">
        <v>262</v>
      </c>
      <c r="D41" s="174">
        <v>1</v>
      </c>
      <c r="E41" s="189"/>
      <c r="F41" s="168"/>
    </row>
    <row r="42" spans="1:6" ht="15" customHeight="1" x14ac:dyDescent="0.2">
      <c r="A42" s="259" t="s">
        <v>439</v>
      </c>
      <c r="B42" s="260"/>
      <c r="C42" s="260"/>
      <c r="D42" s="260"/>
      <c r="E42" s="260"/>
      <c r="F42" s="261"/>
    </row>
    <row r="43" spans="1:6" ht="39" x14ac:dyDescent="0.25">
      <c r="A43" s="336" t="s">
        <v>134</v>
      </c>
      <c r="B43" s="337" t="s">
        <v>409</v>
      </c>
      <c r="C43" s="336" t="s">
        <v>203</v>
      </c>
      <c r="D43" s="338">
        <v>1466</v>
      </c>
      <c r="E43" s="339"/>
      <c r="F43" s="340"/>
    </row>
    <row r="44" spans="1:6" ht="17.25" x14ac:dyDescent="0.25">
      <c r="A44" s="336" t="s">
        <v>329</v>
      </c>
      <c r="B44" s="341" t="s">
        <v>309</v>
      </c>
      <c r="C44" s="336" t="s">
        <v>203</v>
      </c>
      <c r="D44" s="338">
        <f>D43</f>
        <v>1466</v>
      </c>
      <c r="E44" s="339"/>
      <c r="F44" s="340"/>
    </row>
    <row r="45" spans="1:6" ht="17.25" x14ac:dyDescent="0.25">
      <c r="A45" s="336" t="s">
        <v>330</v>
      </c>
      <c r="B45" s="341" t="s">
        <v>311</v>
      </c>
      <c r="C45" s="336" t="s">
        <v>203</v>
      </c>
      <c r="D45" s="338">
        <f>D44</f>
        <v>1466</v>
      </c>
      <c r="E45" s="339"/>
      <c r="F45" s="340"/>
    </row>
    <row r="46" spans="1:6" ht="17.25" x14ac:dyDescent="0.25">
      <c r="A46" s="336" t="s">
        <v>331</v>
      </c>
      <c r="B46" s="341" t="s">
        <v>332</v>
      </c>
      <c r="C46" s="336" t="s">
        <v>203</v>
      </c>
      <c r="D46" s="338">
        <f>D45</f>
        <v>1466</v>
      </c>
      <c r="E46" s="339"/>
      <c r="F46" s="340"/>
    </row>
    <row r="47" spans="1:6" ht="15" x14ac:dyDescent="0.25">
      <c r="A47" s="336" t="s">
        <v>333</v>
      </c>
      <c r="B47" s="341" t="s">
        <v>334</v>
      </c>
      <c r="C47" s="336" t="s">
        <v>9</v>
      </c>
      <c r="D47" s="338">
        <f>D46</f>
        <v>1466</v>
      </c>
      <c r="E47" s="339"/>
      <c r="F47" s="340"/>
    </row>
    <row r="48" spans="1:6" ht="15" x14ac:dyDescent="0.25">
      <c r="A48" s="336" t="s">
        <v>335</v>
      </c>
      <c r="B48" s="341" t="s">
        <v>336</v>
      </c>
      <c r="C48" s="336" t="s">
        <v>9</v>
      </c>
      <c r="D48" s="338">
        <f>D47</f>
        <v>1466</v>
      </c>
      <c r="E48" s="339"/>
      <c r="F48" s="340"/>
    </row>
    <row r="49" spans="1:6" ht="15" x14ac:dyDescent="0.25">
      <c r="A49" s="336"/>
      <c r="B49" s="342" t="s">
        <v>408</v>
      </c>
      <c r="C49" s="343" t="s">
        <v>38</v>
      </c>
      <c r="D49" s="338">
        <v>9</v>
      </c>
      <c r="E49" s="339"/>
      <c r="F49" s="340"/>
    </row>
    <row r="50" spans="1:6" ht="15" x14ac:dyDescent="0.25">
      <c r="A50" s="336"/>
      <c r="B50" s="342" t="s">
        <v>411</v>
      </c>
      <c r="C50" s="343" t="s">
        <v>9</v>
      </c>
      <c r="D50" s="338">
        <v>34</v>
      </c>
      <c r="E50" s="339"/>
      <c r="F50" s="340"/>
    </row>
    <row r="51" spans="1:6" ht="15" x14ac:dyDescent="0.25">
      <c r="A51" s="336"/>
      <c r="B51" s="342" t="s">
        <v>410</v>
      </c>
      <c r="C51" s="343" t="s">
        <v>9</v>
      </c>
      <c r="D51" s="338">
        <v>485</v>
      </c>
      <c r="E51" s="339"/>
      <c r="F51" s="340"/>
    </row>
    <row r="52" spans="1:6" ht="15" x14ac:dyDescent="0.25">
      <c r="A52" s="344" t="s">
        <v>269</v>
      </c>
      <c r="B52" s="345" t="s">
        <v>337</v>
      </c>
      <c r="C52" s="336"/>
      <c r="D52" s="338"/>
      <c r="E52" s="339"/>
      <c r="F52" s="340"/>
    </row>
    <row r="53" spans="1:6" ht="26.25" x14ac:dyDescent="0.25">
      <c r="A53" s="336" t="s">
        <v>338</v>
      </c>
      <c r="B53" s="346" t="s">
        <v>339</v>
      </c>
      <c r="C53" s="336" t="s">
        <v>203</v>
      </c>
      <c r="D53" s="338">
        <f>326.5+(261*1.6)+(35+67)+(87*1.6)</f>
        <v>985.30000000000007</v>
      </c>
      <c r="E53" s="339"/>
      <c r="F53" s="340"/>
    </row>
    <row r="54" spans="1:6" ht="17.25" x14ac:dyDescent="0.25">
      <c r="A54" s="336" t="s">
        <v>340</v>
      </c>
      <c r="B54" s="341" t="s">
        <v>341</v>
      </c>
      <c r="C54" s="336" t="s">
        <v>203</v>
      </c>
      <c r="D54" s="338">
        <f>+D53-D55</f>
        <v>744.1</v>
      </c>
      <c r="E54" s="339"/>
      <c r="F54" s="340"/>
    </row>
    <row r="55" spans="1:6" ht="15" x14ac:dyDescent="0.25">
      <c r="A55" s="336" t="s">
        <v>342</v>
      </c>
      <c r="B55" s="341" t="s">
        <v>343</v>
      </c>
      <c r="C55" s="336" t="s">
        <v>9</v>
      </c>
      <c r="D55" s="338">
        <f>102+(87*1.6)</f>
        <v>241.20000000000002</v>
      </c>
      <c r="E55" s="339"/>
      <c r="F55" s="340"/>
    </row>
    <row r="56" spans="1:6" ht="26.25" x14ac:dyDescent="0.25">
      <c r="A56" s="336" t="s">
        <v>344</v>
      </c>
      <c r="B56" s="347" t="s">
        <v>345</v>
      </c>
      <c r="C56" s="348" t="s">
        <v>9</v>
      </c>
      <c r="D56" s="349">
        <v>702</v>
      </c>
      <c r="E56" s="339"/>
      <c r="F56" s="340"/>
    </row>
    <row r="57" spans="1:6" ht="15" x14ac:dyDescent="0.25">
      <c r="A57" s="336" t="s">
        <v>346</v>
      </c>
      <c r="B57" s="341" t="s">
        <v>347</v>
      </c>
      <c r="C57" s="336" t="s">
        <v>262</v>
      </c>
      <c r="D57" s="338">
        <v>1</v>
      </c>
      <c r="E57" s="339"/>
      <c r="F57" s="340"/>
    </row>
    <row r="58" spans="1:6" ht="15" x14ac:dyDescent="0.25">
      <c r="A58" s="344" t="s">
        <v>135</v>
      </c>
      <c r="B58" s="345" t="s">
        <v>348</v>
      </c>
      <c r="C58" s="336"/>
      <c r="D58" s="338"/>
      <c r="E58" s="339"/>
      <c r="F58" s="340"/>
    </row>
    <row r="59" spans="1:6" ht="15" x14ac:dyDescent="0.25">
      <c r="A59" s="336" t="s">
        <v>349</v>
      </c>
      <c r="B59" s="342" t="s">
        <v>412</v>
      </c>
      <c r="C59" s="343" t="s">
        <v>38</v>
      </c>
      <c r="D59" s="338">
        <v>9</v>
      </c>
      <c r="E59" s="339"/>
      <c r="F59" s="340"/>
    </row>
    <row r="60" spans="1:6" ht="15" x14ac:dyDescent="0.25">
      <c r="A60" s="336" t="s">
        <v>350</v>
      </c>
      <c r="B60" s="341" t="s">
        <v>351</v>
      </c>
      <c r="C60" s="336" t="s">
        <v>9</v>
      </c>
      <c r="D60" s="338">
        <v>34</v>
      </c>
      <c r="E60" s="339"/>
      <c r="F60" s="340"/>
    </row>
    <row r="61" spans="1:6" ht="15" x14ac:dyDescent="0.25">
      <c r="A61" s="336" t="s">
        <v>352</v>
      </c>
      <c r="B61" s="341" t="s">
        <v>353</v>
      </c>
      <c r="C61" s="336" t="s">
        <v>9</v>
      </c>
      <c r="D61" s="338">
        <v>34</v>
      </c>
      <c r="E61" s="339"/>
      <c r="F61" s="340"/>
    </row>
    <row r="62" spans="1:6" ht="15" x14ac:dyDescent="0.25">
      <c r="A62" s="336" t="s">
        <v>354</v>
      </c>
      <c r="B62" s="342" t="s">
        <v>407</v>
      </c>
      <c r="C62" s="336" t="s">
        <v>66</v>
      </c>
      <c r="D62" s="338">
        <v>9</v>
      </c>
      <c r="E62" s="339"/>
      <c r="F62" s="340"/>
    </row>
    <row r="63" spans="1:6" ht="15" x14ac:dyDescent="0.25">
      <c r="A63" s="336" t="s">
        <v>355</v>
      </c>
      <c r="B63" s="342" t="s">
        <v>413</v>
      </c>
      <c r="C63" s="336" t="s">
        <v>9</v>
      </c>
      <c r="D63" s="338">
        <f>D51</f>
        <v>485</v>
      </c>
      <c r="E63" s="339"/>
      <c r="F63" s="340"/>
    </row>
    <row r="64" spans="1:6" ht="15" x14ac:dyDescent="0.25">
      <c r="A64" s="336" t="s">
        <v>356</v>
      </c>
      <c r="B64" s="341" t="s">
        <v>357</v>
      </c>
      <c r="C64" s="336" t="s">
        <v>282</v>
      </c>
      <c r="D64" s="338">
        <v>9</v>
      </c>
      <c r="E64" s="339"/>
      <c r="F64" s="340"/>
    </row>
    <row r="65" spans="1:6" ht="15" x14ac:dyDescent="0.25">
      <c r="A65" s="336" t="s">
        <v>358</v>
      </c>
      <c r="B65" s="341" t="s">
        <v>359</v>
      </c>
      <c r="C65" s="336" t="s">
        <v>282</v>
      </c>
      <c r="D65" s="338">
        <v>99</v>
      </c>
      <c r="E65" s="339"/>
      <c r="F65" s="340"/>
    </row>
    <row r="66" spans="1:6" ht="15" x14ac:dyDescent="0.25">
      <c r="A66" s="336" t="s">
        <v>360</v>
      </c>
      <c r="B66" s="341" t="s">
        <v>361</v>
      </c>
      <c r="C66" s="336" t="s">
        <v>282</v>
      </c>
      <c r="D66" s="338">
        <v>9</v>
      </c>
      <c r="E66" s="339"/>
      <c r="F66" s="340"/>
    </row>
    <row r="67" spans="1:6" ht="15" x14ac:dyDescent="0.25">
      <c r="A67" s="344" t="s">
        <v>364</v>
      </c>
      <c r="B67" s="345" t="s">
        <v>365</v>
      </c>
      <c r="C67" s="336"/>
      <c r="D67" s="338"/>
      <c r="E67" s="339"/>
      <c r="F67" s="340"/>
    </row>
    <row r="68" spans="1:6" ht="26.25" x14ac:dyDescent="0.25">
      <c r="A68" s="336" t="s">
        <v>366</v>
      </c>
      <c r="B68" s="346" t="s">
        <v>367</v>
      </c>
      <c r="C68" s="343" t="s">
        <v>9</v>
      </c>
      <c r="D68" s="338">
        <f>165</f>
        <v>165</v>
      </c>
      <c r="E68" s="339"/>
      <c r="F68" s="340"/>
    </row>
    <row r="69" spans="1:6" ht="26.25" x14ac:dyDescent="0.25">
      <c r="A69" s="336" t="s">
        <v>368</v>
      </c>
      <c r="B69" s="346" t="s">
        <v>369</v>
      </c>
      <c r="C69" s="336" t="s">
        <v>282</v>
      </c>
      <c r="D69" s="338">
        <v>1</v>
      </c>
      <c r="E69" s="339"/>
      <c r="F69" s="340"/>
    </row>
    <row r="70" spans="1:6" ht="15" x14ac:dyDescent="0.25">
      <c r="A70" s="196"/>
      <c r="B70" s="197"/>
      <c r="C70" s="198"/>
      <c r="D70" s="199"/>
      <c r="E70" s="189"/>
      <c r="F70" s="168"/>
    </row>
    <row r="71" spans="1:6" ht="15.75" thickBot="1" x14ac:dyDescent="0.3">
      <c r="A71" s="196"/>
      <c r="B71" s="197"/>
      <c r="C71" s="198"/>
      <c r="D71" s="199"/>
      <c r="E71" s="189"/>
      <c r="F71" s="168"/>
    </row>
    <row r="72" spans="1:6" ht="19.5" thickBot="1" x14ac:dyDescent="0.35">
      <c r="A72" s="250" t="s">
        <v>397</v>
      </c>
      <c r="B72" s="251"/>
      <c r="C72" s="251"/>
      <c r="D72" s="251"/>
      <c r="E72" s="252"/>
      <c r="F72" s="182">
        <f>SUM(F7:F71)</f>
        <v>0</v>
      </c>
    </row>
  </sheetData>
  <mergeCells count="5">
    <mergeCell ref="A72:E72"/>
    <mergeCell ref="A3:F3"/>
    <mergeCell ref="A4:F4"/>
    <mergeCell ref="A7:B7"/>
    <mergeCell ref="A42:F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topLeftCell="A28" workbookViewId="0">
      <selection activeCell="E21" sqref="E21:E49"/>
    </sheetView>
  </sheetViews>
  <sheetFormatPr baseColWidth="10" defaultRowHeight="12.75" x14ac:dyDescent="0.2"/>
  <cols>
    <col min="1" max="1" width="5.42578125" customWidth="1"/>
    <col min="2" max="2" width="57.28515625" customWidth="1"/>
    <col min="3" max="3" width="9.85546875" customWidth="1"/>
    <col min="4" max="4" width="10.7109375" customWidth="1"/>
    <col min="5" max="5" width="12.7109375" customWidth="1"/>
    <col min="6" max="6" width="17.140625" customWidth="1"/>
  </cols>
  <sheetData>
    <row r="1" spans="1:6" x14ac:dyDescent="0.2">
      <c r="B1" s="151"/>
      <c r="E1" s="152"/>
      <c r="F1" s="153"/>
    </row>
    <row r="2" spans="1:6" x14ac:dyDescent="0.2">
      <c r="B2" s="151"/>
      <c r="E2" s="152"/>
      <c r="F2" s="153"/>
    </row>
    <row r="3" spans="1:6" ht="27" thickBot="1" x14ac:dyDescent="0.45">
      <c r="A3" s="253" t="s">
        <v>187</v>
      </c>
      <c r="B3" s="253"/>
      <c r="C3" s="253"/>
      <c r="D3" s="253"/>
      <c r="E3" s="253"/>
      <c r="F3" s="253"/>
    </row>
    <row r="4" spans="1:6" ht="19.5" thickBot="1" x14ac:dyDescent="0.35">
      <c r="A4" s="254" t="s">
        <v>426</v>
      </c>
      <c r="B4" s="255"/>
      <c r="C4" s="255"/>
      <c r="D4" s="255"/>
      <c r="E4" s="255"/>
      <c r="F4" s="256"/>
    </row>
    <row r="5" spans="1:6" ht="13.5" thickBot="1" x14ac:dyDescent="0.25">
      <c r="A5" t="s">
        <v>398</v>
      </c>
      <c r="B5" s="151"/>
      <c r="E5" s="154"/>
      <c r="F5" s="155"/>
    </row>
    <row r="6" spans="1:6" ht="15" x14ac:dyDescent="0.25">
      <c r="A6" s="156" t="s">
        <v>0</v>
      </c>
      <c r="B6" s="157" t="s">
        <v>189</v>
      </c>
      <c r="C6" s="158" t="s">
        <v>190</v>
      </c>
      <c r="D6" s="158" t="s">
        <v>191</v>
      </c>
      <c r="E6" s="159" t="s">
        <v>192</v>
      </c>
      <c r="F6" s="160" t="s">
        <v>5</v>
      </c>
    </row>
    <row r="7" spans="1:6" ht="18.75" x14ac:dyDescent="0.3">
      <c r="A7" s="176" t="s">
        <v>136</v>
      </c>
      <c r="B7" s="262" t="s">
        <v>327</v>
      </c>
      <c r="C7" s="263"/>
      <c r="D7" s="264"/>
      <c r="E7" s="189"/>
      <c r="F7" s="168">
        <f t="shared" ref="F7:F8" si="0">E7*D7</f>
        <v>0</v>
      </c>
    </row>
    <row r="8" spans="1:6" s="290" customFormat="1" ht="39" x14ac:dyDescent="0.25">
      <c r="A8" s="336" t="s">
        <v>328</v>
      </c>
      <c r="B8" s="337" t="s">
        <v>409</v>
      </c>
      <c r="C8" s="336" t="s">
        <v>203</v>
      </c>
      <c r="D8" s="338">
        <v>1466</v>
      </c>
      <c r="E8" s="339"/>
      <c r="F8" s="340">
        <f t="shared" si="0"/>
        <v>0</v>
      </c>
    </row>
    <row r="9" spans="1:6" s="290" customFormat="1" ht="17.25" x14ac:dyDescent="0.25">
      <c r="A9" s="336" t="s">
        <v>329</v>
      </c>
      <c r="B9" s="341" t="s">
        <v>309</v>
      </c>
      <c r="C9" s="336" t="s">
        <v>203</v>
      </c>
      <c r="D9" s="338">
        <f>D8</f>
        <v>1466</v>
      </c>
      <c r="E9" s="339"/>
      <c r="F9" s="340">
        <f t="shared" ref="F9:F49" si="1">E9*D9</f>
        <v>0</v>
      </c>
    </row>
    <row r="10" spans="1:6" s="290" customFormat="1" ht="17.25" x14ac:dyDescent="0.25">
      <c r="A10" s="336" t="s">
        <v>330</v>
      </c>
      <c r="B10" s="341" t="s">
        <v>311</v>
      </c>
      <c r="C10" s="336" t="s">
        <v>203</v>
      </c>
      <c r="D10" s="338">
        <f>D9</f>
        <v>1466</v>
      </c>
      <c r="E10" s="339"/>
      <c r="F10" s="340">
        <f t="shared" si="1"/>
        <v>0</v>
      </c>
    </row>
    <row r="11" spans="1:6" s="290" customFormat="1" ht="17.25" x14ac:dyDescent="0.25">
      <c r="A11" s="336" t="s">
        <v>331</v>
      </c>
      <c r="B11" s="341" t="s">
        <v>332</v>
      </c>
      <c r="C11" s="336" t="s">
        <v>203</v>
      </c>
      <c r="D11" s="338">
        <f>D10</f>
        <v>1466</v>
      </c>
      <c r="E11" s="339"/>
      <c r="F11" s="340">
        <f t="shared" si="1"/>
        <v>0</v>
      </c>
    </row>
    <row r="12" spans="1:6" s="290" customFormat="1" ht="15" x14ac:dyDescent="0.25">
      <c r="A12" s="336" t="s">
        <v>333</v>
      </c>
      <c r="B12" s="341" t="s">
        <v>334</v>
      </c>
      <c r="C12" s="336" t="s">
        <v>9</v>
      </c>
      <c r="D12" s="338">
        <f>D11</f>
        <v>1466</v>
      </c>
      <c r="E12" s="339"/>
      <c r="F12" s="340">
        <f t="shared" si="1"/>
        <v>0</v>
      </c>
    </row>
    <row r="13" spans="1:6" s="290" customFormat="1" ht="15" x14ac:dyDescent="0.25">
      <c r="A13" s="336" t="s">
        <v>335</v>
      </c>
      <c r="B13" s="341" t="s">
        <v>336</v>
      </c>
      <c r="C13" s="336" t="s">
        <v>9</v>
      </c>
      <c r="D13" s="338">
        <f>D12</f>
        <v>1466</v>
      </c>
      <c r="E13" s="339"/>
      <c r="F13" s="340">
        <f t="shared" si="1"/>
        <v>0</v>
      </c>
    </row>
    <row r="14" spans="1:6" s="290" customFormat="1" ht="15" x14ac:dyDescent="0.25">
      <c r="A14" s="336"/>
      <c r="B14" s="342" t="s">
        <v>408</v>
      </c>
      <c r="C14" s="343" t="s">
        <v>38</v>
      </c>
      <c r="D14" s="338">
        <v>9</v>
      </c>
      <c r="E14" s="339"/>
      <c r="F14" s="340">
        <f t="shared" si="1"/>
        <v>0</v>
      </c>
    </row>
    <row r="15" spans="1:6" s="290" customFormat="1" ht="15" x14ac:dyDescent="0.25">
      <c r="A15" s="336"/>
      <c r="B15" s="342" t="s">
        <v>411</v>
      </c>
      <c r="C15" s="343" t="s">
        <v>9</v>
      </c>
      <c r="D15" s="338">
        <v>34</v>
      </c>
      <c r="E15" s="339"/>
      <c r="F15" s="340">
        <f t="shared" si="1"/>
        <v>0</v>
      </c>
    </row>
    <row r="16" spans="1:6" s="290" customFormat="1" ht="15" x14ac:dyDescent="0.25">
      <c r="A16" s="336"/>
      <c r="B16" s="342" t="s">
        <v>410</v>
      </c>
      <c r="C16" s="343" t="s">
        <v>9</v>
      </c>
      <c r="D16" s="338">
        <v>485</v>
      </c>
      <c r="E16" s="339"/>
      <c r="F16" s="340">
        <f t="shared" si="1"/>
        <v>0</v>
      </c>
    </row>
    <row r="17" spans="1:6" s="290" customFormat="1" ht="15" x14ac:dyDescent="0.25">
      <c r="A17" s="344" t="s">
        <v>137</v>
      </c>
      <c r="B17" s="345" t="s">
        <v>337</v>
      </c>
      <c r="C17" s="336"/>
      <c r="D17" s="338"/>
      <c r="E17" s="339"/>
      <c r="F17" s="340">
        <f t="shared" si="1"/>
        <v>0</v>
      </c>
    </row>
    <row r="18" spans="1:6" s="290" customFormat="1" ht="26.25" x14ac:dyDescent="0.25">
      <c r="A18" s="336" t="s">
        <v>338</v>
      </c>
      <c r="B18" s="346" t="s">
        <v>339</v>
      </c>
      <c r="C18" s="336" t="s">
        <v>203</v>
      </c>
      <c r="D18" s="338">
        <f>326.5+(261*1.6)+(35+67)+(87*1.6)</f>
        <v>985.30000000000007</v>
      </c>
      <c r="E18" s="339"/>
      <c r="F18" s="340">
        <f t="shared" si="1"/>
        <v>0</v>
      </c>
    </row>
    <row r="19" spans="1:6" s="290" customFormat="1" ht="17.25" x14ac:dyDescent="0.25">
      <c r="A19" s="336" t="s">
        <v>340</v>
      </c>
      <c r="B19" s="341" t="s">
        <v>341</v>
      </c>
      <c r="C19" s="336" t="s">
        <v>203</v>
      </c>
      <c r="D19" s="338">
        <f>+D18-D20</f>
        <v>744.1</v>
      </c>
      <c r="E19" s="339"/>
      <c r="F19" s="340">
        <f t="shared" si="1"/>
        <v>0</v>
      </c>
    </row>
    <row r="20" spans="1:6" s="290" customFormat="1" ht="15" x14ac:dyDescent="0.25">
      <c r="A20" s="336" t="s">
        <v>342</v>
      </c>
      <c r="B20" s="341" t="s">
        <v>343</v>
      </c>
      <c r="C20" s="336" t="s">
        <v>9</v>
      </c>
      <c r="D20" s="338">
        <f>102+(87*1.6)</f>
        <v>241.20000000000002</v>
      </c>
      <c r="E20" s="339"/>
      <c r="F20" s="340">
        <f t="shared" si="1"/>
        <v>0</v>
      </c>
    </row>
    <row r="21" spans="1:6" s="290" customFormat="1" ht="37.5" customHeight="1" x14ac:dyDescent="0.25">
      <c r="A21" s="336" t="s">
        <v>344</v>
      </c>
      <c r="B21" s="347" t="s">
        <v>345</v>
      </c>
      <c r="C21" s="348" t="s">
        <v>9</v>
      </c>
      <c r="D21" s="349">
        <v>702</v>
      </c>
      <c r="E21" s="339"/>
      <c r="F21" s="340">
        <f t="shared" si="1"/>
        <v>0</v>
      </c>
    </row>
    <row r="22" spans="1:6" s="290" customFormat="1" ht="15" x14ac:dyDescent="0.25">
      <c r="A22" s="336" t="s">
        <v>346</v>
      </c>
      <c r="B22" s="341" t="s">
        <v>347</v>
      </c>
      <c r="C22" s="336" t="s">
        <v>262</v>
      </c>
      <c r="D22" s="338">
        <v>1</v>
      </c>
      <c r="E22" s="339"/>
      <c r="F22" s="340">
        <f t="shared" si="1"/>
        <v>0</v>
      </c>
    </row>
    <row r="23" spans="1:6" s="290" customFormat="1" ht="15" x14ac:dyDescent="0.25">
      <c r="A23" s="344" t="s">
        <v>171</v>
      </c>
      <c r="B23" s="345" t="s">
        <v>348</v>
      </c>
      <c r="C23" s="336"/>
      <c r="D23" s="338"/>
      <c r="E23" s="339"/>
      <c r="F23" s="340">
        <f t="shared" si="1"/>
        <v>0</v>
      </c>
    </row>
    <row r="24" spans="1:6" s="290" customFormat="1" ht="15" x14ac:dyDescent="0.25">
      <c r="A24" s="336" t="s">
        <v>349</v>
      </c>
      <c r="B24" s="342" t="s">
        <v>412</v>
      </c>
      <c r="C24" s="343" t="s">
        <v>38</v>
      </c>
      <c r="D24" s="338">
        <v>9</v>
      </c>
      <c r="E24" s="339"/>
      <c r="F24" s="340">
        <f t="shared" si="1"/>
        <v>0</v>
      </c>
    </row>
    <row r="25" spans="1:6" s="290" customFormat="1" ht="15" x14ac:dyDescent="0.25">
      <c r="A25" s="336" t="s">
        <v>350</v>
      </c>
      <c r="B25" s="341" t="s">
        <v>351</v>
      </c>
      <c r="C25" s="336" t="s">
        <v>9</v>
      </c>
      <c r="D25" s="338">
        <v>34</v>
      </c>
      <c r="E25" s="339"/>
      <c r="F25" s="340">
        <f t="shared" si="1"/>
        <v>0</v>
      </c>
    </row>
    <row r="26" spans="1:6" s="290" customFormat="1" ht="15" x14ac:dyDescent="0.25">
      <c r="A26" s="336" t="s">
        <v>352</v>
      </c>
      <c r="B26" s="341" t="s">
        <v>353</v>
      </c>
      <c r="C26" s="336" t="s">
        <v>9</v>
      </c>
      <c r="D26" s="338">
        <v>34</v>
      </c>
      <c r="E26" s="339"/>
      <c r="F26" s="340">
        <f t="shared" si="1"/>
        <v>0</v>
      </c>
    </row>
    <row r="27" spans="1:6" s="290" customFormat="1" ht="15" x14ac:dyDescent="0.25">
      <c r="A27" s="336" t="s">
        <v>354</v>
      </c>
      <c r="B27" s="342" t="s">
        <v>753</v>
      </c>
      <c r="C27" s="336" t="s">
        <v>66</v>
      </c>
      <c r="D27" s="338">
        <v>9</v>
      </c>
      <c r="E27" s="339"/>
      <c r="F27" s="340">
        <f t="shared" si="1"/>
        <v>0</v>
      </c>
    </row>
    <row r="28" spans="1:6" s="290" customFormat="1" ht="15" x14ac:dyDescent="0.25">
      <c r="A28" s="336" t="s">
        <v>355</v>
      </c>
      <c r="B28" s="342" t="s">
        <v>413</v>
      </c>
      <c r="C28" s="336" t="s">
        <v>9</v>
      </c>
      <c r="D28" s="338">
        <f>D16</f>
        <v>485</v>
      </c>
      <c r="E28" s="339"/>
      <c r="F28" s="340">
        <f t="shared" si="1"/>
        <v>0</v>
      </c>
    </row>
    <row r="29" spans="1:6" s="290" customFormat="1" ht="15" x14ac:dyDescent="0.25">
      <c r="A29" s="336" t="s">
        <v>356</v>
      </c>
      <c r="B29" s="341" t="s">
        <v>357</v>
      </c>
      <c r="C29" s="336" t="s">
        <v>282</v>
      </c>
      <c r="D29" s="338">
        <v>9</v>
      </c>
      <c r="E29" s="339"/>
      <c r="F29" s="340">
        <f t="shared" si="1"/>
        <v>0</v>
      </c>
    </row>
    <row r="30" spans="1:6" s="290" customFormat="1" ht="15" x14ac:dyDescent="0.25">
      <c r="A30" s="336" t="s">
        <v>358</v>
      </c>
      <c r="B30" s="341" t="s">
        <v>359</v>
      </c>
      <c r="C30" s="336" t="s">
        <v>282</v>
      </c>
      <c r="D30" s="338">
        <v>99</v>
      </c>
      <c r="E30" s="339"/>
      <c r="F30" s="340">
        <f t="shared" si="1"/>
        <v>0</v>
      </c>
    </row>
    <row r="31" spans="1:6" s="290" customFormat="1" ht="15" x14ac:dyDescent="0.25">
      <c r="A31" s="336" t="s">
        <v>360</v>
      </c>
      <c r="B31" s="341" t="s">
        <v>361</v>
      </c>
      <c r="C31" s="336" t="s">
        <v>282</v>
      </c>
      <c r="D31" s="338">
        <v>9</v>
      </c>
      <c r="E31" s="339"/>
      <c r="F31" s="340">
        <f t="shared" si="1"/>
        <v>0</v>
      </c>
    </row>
    <row r="32" spans="1:6" s="290" customFormat="1" ht="15" x14ac:dyDescent="0.25">
      <c r="A32" s="344" t="s">
        <v>364</v>
      </c>
      <c r="B32" s="345" t="s">
        <v>365</v>
      </c>
      <c r="C32" s="336"/>
      <c r="D32" s="338"/>
      <c r="E32" s="339"/>
      <c r="F32" s="340">
        <f t="shared" si="1"/>
        <v>0</v>
      </c>
    </row>
    <row r="33" spans="1:6" s="290" customFormat="1" ht="26.25" x14ac:dyDescent="0.25">
      <c r="A33" s="336" t="s">
        <v>366</v>
      </c>
      <c r="B33" s="346" t="s">
        <v>367</v>
      </c>
      <c r="C33" s="343" t="s">
        <v>9</v>
      </c>
      <c r="D33" s="338">
        <f>165</f>
        <v>165</v>
      </c>
      <c r="E33" s="339"/>
      <c r="F33" s="340">
        <f t="shared" si="1"/>
        <v>0</v>
      </c>
    </row>
    <row r="34" spans="1:6" s="290" customFormat="1" ht="26.25" x14ac:dyDescent="0.25">
      <c r="A34" s="336" t="s">
        <v>368</v>
      </c>
      <c r="B34" s="346" t="s">
        <v>369</v>
      </c>
      <c r="C34" s="336" t="s">
        <v>282</v>
      </c>
      <c r="D34" s="338">
        <v>1</v>
      </c>
      <c r="E34" s="339"/>
      <c r="F34" s="340">
        <f t="shared" si="1"/>
        <v>0</v>
      </c>
    </row>
    <row r="35" spans="1:6" s="290" customFormat="1" ht="15" x14ac:dyDescent="0.25">
      <c r="A35" s="344" t="s">
        <v>370</v>
      </c>
      <c r="B35" s="345" t="s">
        <v>371</v>
      </c>
      <c r="C35" s="336"/>
      <c r="D35" s="338"/>
      <c r="E35" s="339"/>
      <c r="F35" s="340">
        <f t="shared" si="1"/>
        <v>0</v>
      </c>
    </row>
    <row r="36" spans="1:6" s="290" customFormat="1" ht="26.25" x14ac:dyDescent="0.25">
      <c r="A36" s="336" t="s">
        <v>372</v>
      </c>
      <c r="B36" s="337" t="s">
        <v>399</v>
      </c>
      <c r="C36" s="343" t="s">
        <v>9</v>
      </c>
      <c r="D36" s="338">
        <f>8+38+34</f>
        <v>80</v>
      </c>
      <c r="E36" s="339"/>
      <c r="F36" s="340">
        <f t="shared" si="1"/>
        <v>0</v>
      </c>
    </row>
    <row r="37" spans="1:6" s="290" customFormat="1" ht="15" x14ac:dyDescent="0.25">
      <c r="A37" s="336" t="s">
        <v>373</v>
      </c>
      <c r="B37" s="342" t="s">
        <v>401</v>
      </c>
      <c r="C37" s="343" t="s">
        <v>9</v>
      </c>
      <c r="D37" s="338">
        <v>80</v>
      </c>
      <c r="E37" s="339"/>
      <c r="F37" s="340">
        <f t="shared" si="1"/>
        <v>0</v>
      </c>
    </row>
    <row r="38" spans="1:6" s="290" customFormat="1" ht="15" x14ac:dyDescent="0.25">
      <c r="A38" s="336" t="s">
        <v>374</v>
      </c>
      <c r="B38" s="341" t="s">
        <v>375</v>
      </c>
      <c r="C38" s="336" t="s">
        <v>9</v>
      </c>
      <c r="D38" s="338">
        <v>100</v>
      </c>
      <c r="E38" s="339"/>
      <c r="F38" s="340">
        <f t="shared" si="1"/>
        <v>0</v>
      </c>
    </row>
    <row r="39" spans="1:6" s="290" customFormat="1" ht="26.25" x14ac:dyDescent="0.25">
      <c r="A39" s="336" t="s">
        <v>376</v>
      </c>
      <c r="B39" s="337" t="s">
        <v>400</v>
      </c>
      <c r="C39" s="343" t="s">
        <v>9</v>
      </c>
      <c r="D39" s="338">
        <f>160*2</f>
        <v>320</v>
      </c>
      <c r="E39" s="339"/>
      <c r="F39" s="340">
        <f t="shared" si="1"/>
        <v>0</v>
      </c>
    </row>
    <row r="40" spans="1:6" s="290" customFormat="1" ht="15" x14ac:dyDescent="0.25">
      <c r="A40" s="336" t="s">
        <v>378</v>
      </c>
      <c r="B40" s="337" t="s">
        <v>402</v>
      </c>
      <c r="C40" s="343" t="s">
        <v>9</v>
      </c>
      <c r="D40" s="338">
        <v>40</v>
      </c>
      <c r="E40" s="339"/>
      <c r="F40" s="340">
        <f t="shared" si="1"/>
        <v>0</v>
      </c>
    </row>
    <row r="41" spans="1:6" s="290" customFormat="1" ht="26.25" x14ac:dyDescent="0.25">
      <c r="A41" s="336" t="s">
        <v>383</v>
      </c>
      <c r="B41" s="337" t="s">
        <v>403</v>
      </c>
      <c r="C41" s="336" t="s">
        <v>9</v>
      </c>
      <c r="D41" s="338">
        <v>106</v>
      </c>
      <c r="E41" s="339"/>
      <c r="F41" s="340">
        <f t="shared" si="1"/>
        <v>0</v>
      </c>
    </row>
    <row r="42" spans="1:6" s="290" customFormat="1" ht="51.75" x14ac:dyDescent="0.25">
      <c r="A42" s="336" t="s">
        <v>384</v>
      </c>
      <c r="B42" s="337" t="s">
        <v>405</v>
      </c>
      <c r="C42" s="336" t="s">
        <v>377</v>
      </c>
      <c r="D42" s="338">
        <v>1</v>
      </c>
      <c r="E42" s="339"/>
      <c r="F42" s="340">
        <f t="shared" si="1"/>
        <v>0</v>
      </c>
    </row>
    <row r="43" spans="1:6" s="290" customFormat="1" ht="26.25" x14ac:dyDescent="0.25">
      <c r="A43" s="336" t="s">
        <v>385</v>
      </c>
      <c r="B43" s="337" t="s">
        <v>404</v>
      </c>
      <c r="C43" s="336" t="s">
        <v>377</v>
      </c>
      <c r="D43" s="338">
        <v>1</v>
      </c>
      <c r="E43" s="339"/>
      <c r="F43" s="340">
        <f t="shared" si="1"/>
        <v>0</v>
      </c>
    </row>
    <row r="44" spans="1:6" s="290" customFormat="1" ht="15" x14ac:dyDescent="0.25">
      <c r="A44" s="336" t="s">
        <v>386</v>
      </c>
      <c r="B44" s="341" t="s">
        <v>387</v>
      </c>
      <c r="C44" s="336" t="s">
        <v>9</v>
      </c>
      <c r="D44" s="338">
        <v>212</v>
      </c>
      <c r="E44" s="339"/>
      <c r="F44" s="340">
        <f t="shared" si="1"/>
        <v>0</v>
      </c>
    </row>
    <row r="45" spans="1:6" s="290" customFormat="1" ht="26.25" x14ac:dyDescent="0.25">
      <c r="A45" s="336" t="s">
        <v>388</v>
      </c>
      <c r="B45" s="346" t="s">
        <v>389</v>
      </c>
      <c r="C45" s="336" t="s">
        <v>377</v>
      </c>
      <c r="D45" s="338">
        <v>1</v>
      </c>
      <c r="E45" s="339"/>
      <c r="F45" s="340">
        <f t="shared" si="1"/>
        <v>0</v>
      </c>
    </row>
    <row r="46" spans="1:6" s="290" customFormat="1" ht="26.25" x14ac:dyDescent="0.25">
      <c r="A46" s="336" t="s">
        <v>390</v>
      </c>
      <c r="B46" s="346" t="s">
        <v>391</v>
      </c>
      <c r="C46" s="336" t="s">
        <v>377</v>
      </c>
      <c r="D46" s="338">
        <v>1</v>
      </c>
      <c r="E46" s="339"/>
      <c r="F46" s="340">
        <f t="shared" si="1"/>
        <v>0</v>
      </c>
    </row>
    <row r="47" spans="1:6" s="290" customFormat="1" ht="15" x14ac:dyDescent="0.25">
      <c r="A47" s="336" t="s">
        <v>392</v>
      </c>
      <c r="B47" s="342" t="s">
        <v>406</v>
      </c>
      <c r="C47" s="336" t="s">
        <v>39</v>
      </c>
      <c r="D47" s="338">
        <v>1000</v>
      </c>
      <c r="E47" s="339"/>
      <c r="F47" s="340">
        <f t="shared" si="1"/>
        <v>0</v>
      </c>
    </row>
    <row r="48" spans="1:6" ht="15" x14ac:dyDescent="0.25">
      <c r="A48" s="173" t="s">
        <v>393</v>
      </c>
      <c r="B48" s="175" t="s">
        <v>325</v>
      </c>
      <c r="C48" s="173" t="s">
        <v>394</v>
      </c>
      <c r="D48" s="174">
        <v>1</v>
      </c>
      <c r="E48" s="189"/>
      <c r="F48" s="168">
        <f t="shared" si="1"/>
        <v>0</v>
      </c>
    </row>
    <row r="49" spans="1:6" ht="15.75" thickBot="1" x14ac:dyDescent="0.3">
      <c r="A49" s="179" t="s">
        <v>395</v>
      </c>
      <c r="B49" s="180" t="s">
        <v>396</v>
      </c>
      <c r="C49" s="179" t="s">
        <v>38</v>
      </c>
      <c r="D49" s="181">
        <v>10</v>
      </c>
      <c r="E49" s="190"/>
      <c r="F49" s="168">
        <f t="shared" si="1"/>
        <v>0</v>
      </c>
    </row>
    <row r="50" spans="1:6" ht="19.5" thickBot="1" x14ac:dyDescent="0.35">
      <c r="A50" s="250" t="s">
        <v>397</v>
      </c>
      <c r="B50" s="251"/>
      <c r="C50" s="251"/>
      <c r="D50" s="251"/>
      <c r="E50" s="252"/>
      <c r="F50" s="182">
        <f>SUM(F7:F49)</f>
        <v>0</v>
      </c>
    </row>
  </sheetData>
  <mergeCells count="4">
    <mergeCell ref="A3:F3"/>
    <mergeCell ref="A4:F4"/>
    <mergeCell ref="B7:D7"/>
    <mergeCell ref="A50:E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7"/>
  <sheetViews>
    <sheetView topLeftCell="A20" workbookViewId="0">
      <selection activeCell="C27" sqref="C27"/>
    </sheetView>
  </sheetViews>
  <sheetFormatPr baseColWidth="10" defaultRowHeight="12.75" x14ac:dyDescent="0.2"/>
  <cols>
    <col min="1" max="1" width="5.42578125" customWidth="1"/>
    <col min="2" max="2" width="57.28515625" customWidth="1"/>
    <col min="3" max="3" width="9.85546875" customWidth="1"/>
    <col min="4" max="4" width="10.7109375" customWidth="1"/>
    <col min="5" max="5" width="12.7109375" customWidth="1"/>
    <col min="6" max="6" width="17.140625" customWidth="1"/>
    <col min="8" max="8" width="12.5703125" customWidth="1"/>
  </cols>
  <sheetData>
    <row r="1" spans="1:8" x14ac:dyDescent="0.2">
      <c r="B1" s="151"/>
      <c r="E1" s="152"/>
      <c r="F1" s="153"/>
    </row>
    <row r="2" spans="1:8" x14ac:dyDescent="0.2">
      <c r="B2" s="151"/>
      <c r="E2" s="152"/>
      <c r="F2" s="153"/>
    </row>
    <row r="3" spans="1:8" ht="27" thickBot="1" x14ac:dyDescent="0.45">
      <c r="A3" s="253" t="s">
        <v>187</v>
      </c>
      <c r="B3" s="253"/>
      <c r="C3" s="253"/>
      <c r="D3" s="253"/>
      <c r="E3" s="253"/>
      <c r="F3" s="253"/>
    </row>
    <row r="4" spans="1:8" ht="19.5" thickBot="1" x14ac:dyDescent="0.35">
      <c r="A4" s="254" t="s">
        <v>757</v>
      </c>
      <c r="B4" s="255"/>
      <c r="C4" s="255"/>
      <c r="D4" s="255"/>
      <c r="E4" s="255"/>
      <c r="F4" s="256"/>
    </row>
    <row r="5" spans="1:8" ht="13.5" thickBot="1" x14ac:dyDescent="0.25">
      <c r="A5" t="s">
        <v>398</v>
      </c>
      <c r="B5" s="151"/>
      <c r="E5" s="154"/>
      <c r="F5" s="155"/>
    </row>
    <row r="6" spans="1:8" ht="15" x14ac:dyDescent="0.25">
      <c r="A6" s="156" t="s">
        <v>0</v>
      </c>
      <c r="B6" s="157" t="s">
        <v>189</v>
      </c>
      <c r="C6" s="158" t="s">
        <v>190</v>
      </c>
      <c r="D6" s="158" t="s">
        <v>191</v>
      </c>
      <c r="E6" s="159" t="s">
        <v>192</v>
      </c>
      <c r="F6" s="160" t="s">
        <v>5</v>
      </c>
    </row>
    <row r="7" spans="1:8" ht="18.75" x14ac:dyDescent="0.3">
      <c r="A7" s="176"/>
      <c r="B7" s="262" t="s">
        <v>756</v>
      </c>
      <c r="C7" s="263"/>
      <c r="D7" s="264"/>
      <c r="E7" s="189"/>
      <c r="F7" s="168">
        <f t="shared" ref="F7:F56" si="0">E7*D7</f>
        <v>0</v>
      </c>
      <c r="H7" s="183"/>
    </row>
    <row r="8" spans="1:8" ht="18.75" x14ac:dyDescent="0.3">
      <c r="A8" s="231">
        <v>1</v>
      </c>
      <c r="B8" s="185" t="s">
        <v>758</v>
      </c>
      <c r="C8" s="186"/>
      <c r="D8" s="187"/>
      <c r="E8" s="189"/>
      <c r="F8" s="168"/>
      <c r="H8" s="183"/>
    </row>
    <row r="9" spans="1:8" ht="39" x14ac:dyDescent="0.25">
      <c r="A9" s="233"/>
      <c r="B9" s="193" t="s">
        <v>409</v>
      </c>
      <c r="C9" s="173" t="s">
        <v>203</v>
      </c>
      <c r="D9" s="174">
        <f>295*3+335</f>
        <v>1220</v>
      </c>
      <c r="E9" s="189"/>
      <c r="F9" s="200">
        <f t="shared" si="0"/>
        <v>0</v>
      </c>
      <c r="H9" s="183"/>
    </row>
    <row r="10" spans="1:8" ht="17.25" x14ac:dyDescent="0.25">
      <c r="A10" s="233"/>
      <c r="B10" s="175" t="s">
        <v>309</v>
      </c>
      <c r="C10" s="173" t="s">
        <v>203</v>
      </c>
      <c r="D10" s="174">
        <f>D9</f>
        <v>1220</v>
      </c>
      <c r="E10" s="189"/>
      <c r="F10" s="200">
        <f t="shared" si="0"/>
        <v>0</v>
      </c>
      <c r="H10" s="183"/>
    </row>
    <row r="11" spans="1:8" ht="17.25" x14ac:dyDescent="0.25">
      <c r="A11" s="233"/>
      <c r="B11" s="175" t="s">
        <v>311</v>
      </c>
      <c r="C11" s="173" t="s">
        <v>203</v>
      </c>
      <c r="D11" s="174">
        <f>D10</f>
        <v>1220</v>
      </c>
      <c r="E11" s="189"/>
      <c r="F11" s="200">
        <f t="shared" si="0"/>
        <v>0</v>
      </c>
      <c r="H11" s="183"/>
    </row>
    <row r="12" spans="1:8" ht="17.25" x14ac:dyDescent="0.25">
      <c r="A12" s="233"/>
      <c r="B12" s="175" t="s">
        <v>332</v>
      </c>
      <c r="C12" s="173" t="s">
        <v>203</v>
      </c>
      <c r="D12" s="174">
        <f>D11</f>
        <v>1220</v>
      </c>
      <c r="E12" s="189"/>
      <c r="F12" s="200">
        <f t="shared" si="0"/>
        <v>0</v>
      </c>
      <c r="H12" s="183"/>
    </row>
    <row r="13" spans="1:8" ht="15" x14ac:dyDescent="0.25">
      <c r="A13" s="233"/>
      <c r="B13" s="175" t="s">
        <v>334</v>
      </c>
      <c r="C13" s="173" t="s">
        <v>9</v>
      </c>
      <c r="D13" s="174">
        <f>D12</f>
        <v>1220</v>
      </c>
      <c r="E13" s="189"/>
      <c r="F13" s="200">
        <f t="shared" si="0"/>
        <v>0</v>
      </c>
      <c r="H13" s="183"/>
    </row>
    <row r="14" spans="1:8" ht="15" x14ac:dyDescent="0.25">
      <c r="A14" s="233"/>
      <c r="B14" s="175" t="s">
        <v>336</v>
      </c>
      <c r="C14" s="173" t="s">
        <v>9</v>
      </c>
      <c r="D14" s="174">
        <f>D13</f>
        <v>1220</v>
      </c>
      <c r="E14" s="189"/>
      <c r="F14" s="200">
        <f t="shared" si="0"/>
        <v>0</v>
      </c>
      <c r="H14" s="183"/>
    </row>
    <row r="15" spans="1:8" ht="15" x14ac:dyDescent="0.25">
      <c r="A15" s="173"/>
      <c r="B15" s="192" t="s">
        <v>408</v>
      </c>
      <c r="C15" s="191" t="s">
        <v>38</v>
      </c>
      <c r="D15" s="174">
        <v>12</v>
      </c>
      <c r="E15" s="189"/>
      <c r="F15" s="200">
        <f t="shared" si="0"/>
        <v>0</v>
      </c>
      <c r="H15" s="183"/>
    </row>
    <row r="16" spans="1:8" ht="15" x14ac:dyDescent="0.25">
      <c r="A16" s="173"/>
      <c r="B16" s="192" t="s">
        <v>411</v>
      </c>
      <c r="C16" s="191" t="s">
        <v>9</v>
      </c>
      <c r="D16" s="174">
        <v>65</v>
      </c>
      <c r="E16" s="189"/>
      <c r="F16" s="200">
        <f t="shared" si="0"/>
        <v>0</v>
      </c>
      <c r="H16" s="183"/>
    </row>
    <row r="17" spans="1:8" ht="15" x14ac:dyDescent="0.25">
      <c r="A17" s="173"/>
      <c r="B17" s="192" t="s">
        <v>410</v>
      </c>
      <c r="C17" s="191" t="s">
        <v>9</v>
      </c>
      <c r="D17" s="174">
        <f>334*2</f>
        <v>668</v>
      </c>
      <c r="E17" s="189"/>
      <c r="F17" s="200">
        <f t="shared" si="0"/>
        <v>0</v>
      </c>
      <c r="H17" s="183"/>
    </row>
    <row r="18" spans="1:8" ht="15" x14ac:dyDescent="0.25">
      <c r="A18" s="232">
        <v>2</v>
      </c>
      <c r="B18" s="177" t="s">
        <v>759</v>
      </c>
      <c r="C18" s="173"/>
      <c r="D18" s="174"/>
      <c r="E18" s="189"/>
      <c r="F18" s="168">
        <f t="shared" si="0"/>
        <v>0</v>
      </c>
      <c r="H18" s="183"/>
    </row>
    <row r="19" spans="1:8" ht="17.25" x14ac:dyDescent="0.25">
      <c r="A19" s="173"/>
      <c r="B19" s="193" t="s">
        <v>760</v>
      </c>
      <c r="C19" s="173" t="s">
        <v>203</v>
      </c>
      <c r="D19" s="174">
        <v>55</v>
      </c>
      <c r="E19" s="189"/>
      <c r="F19" s="200">
        <f t="shared" si="0"/>
        <v>0</v>
      </c>
      <c r="H19" s="183"/>
    </row>
    <row r="20" spans="1:8" ht="17.25" x14ac:dyDescent="0.25">
      <c r="A20" s="173"/>
      <c r="B20" s="192" t="s">
        <v>761</v>
      </c>
      <c r="C20" s="173" t="s">
        <v>203</v>
      </c>
      <c r="D20" s="174">
        <v>120</v>
      </c>
      <c r="E20" s="189"/>
      <c r="F20" s="200">
        <f t="shared" si="0"/>
        <v>0</v>
      </c>
      <c r="H20" s="183"/>
    </row>
    <row r="21" spans="1:8" ht="15" x14ac:dyDescent="0.25">
      <c r="A21" s="233">
        <v>3</v>
      </c>
      <c r="B21" s="234" t="s">
        <v>763</v>
      </c>
      <c r="C21" s="173"/>
      <c r="D21" s="174"/>
      <c r="E21" s="189"/>
      <c r="F21" s="200"/>
      <c r="H21" s="183"/>
    </row>
    <row r="22" spans="1:8" ht="15" x14ac:dyDescent="0.25">
      <c r="A22" s="173"/>
      <c r="B22" s="192" t="s">
        <v>764</v>
      </c>
      <c r="C22" s="191" t="s">
        <v>38</v>
      </c>
      <c r="D22" s="174">
        <f>9</f>
        <v>9</v>
      </c>
      <c r="E22" s="189"/>
      <c r="F22" s="200">
        <f t="shared" si="0"/>
        <v>0</v>
      </c>
      <c r="H22" s="183"/>
    </row>
    <row r="23" spans="1:8" ht="15" x14ac:dyDescent="0.25">
      <c r="A23" s="173"/>
      <c r="B23" s="235" t="s">
        <v>765</v>
      </c>
      <c r="C23" s="236" t="s">
        <v>38</v>
      </c>
      <c r="D23" s="237">
        <v>12</v>
      </c>
      <c r="E23" s="189"/>
      <c r="F23" s="200">
        <f t="shared" si="0"/>
        <v>0</v>
      </c>
      <c r="H23" s="183"/>
    </row>
    <row r="24" spans="1:8" ht="15" x14ac:dyDescent="0.25">
      <c r="A24" s="173"/>
      <c r="B24" s="235" t="s">
        <v>766</v>
      </c>
      <c r="C24" s="236" t="s">
        <v>728</v>
      </c>
      <c r="D24" s="237">
        <v>26</v>
      </c>
      <c r="E24" s="189"/>
      <c r="F24" s="200">
        <f t="shared" si="0"/>
        <v>0</v>
      </c>
      <c r="H24" s="183"/>
    </row>
    <row r="25" spans="1:8" ht="15" x14ac:dyDescent="0.25">
      <c r="A25" s="173"/>
      <c r="B25" s="235" t="s">
        <v>767</v>
      </c>
      <c r="C25" s="236" t="s">
        <v>728</v>
      </c>
      <c r="D25" s="237">
        <v>3</v>
      </c>
      <c r="E25" s="189"/>
      <c r="F25" s="200">
        <f t="shared" si="0"/>
        <v>0</v>
      </c>
      <c r="H25" s="183"/>
    </row>
    <row r="26" spans="1:8" ht="15" x14ac:dyDescent="0.25">
      <c r="A26" s="173"/>
      <c r="B26" s="235" t="s">
        <v>768</v>
      </c>
      <c r="C26" s="236" t="s">
        <v>728</v>
      </c>
      <c r="D26" s="237">
        <v>1</v>
      </c>
      <c r="E26" s="189"/>
      <c r="F26" s="200">
        <f t="shared" si="0"/>
        <v>0</v>
      </c>
      <c r="H26" s="183"/>
    </row>
    <row r="27" spans="1:8" ht="15" x14ac:dyDescent="0.25">
      <c r="A27" s="173"/>
      <c r="B27" s="192" t="s">
        <v>769</v>
      </c>
      <c r="C27" s="348" t="s">
        <v>728</v>
      </c>
      <c r="D27" s="174">
        <v>1</v>
      </c>
      <c r="E27" s="189"/>
      <c r="F27" s="168">
        <f t="shared" si="0"/>
        <v>0</v>
      </c>
    </row>
    <row r="28" spans="1:8" ht="15" x14ac:dyDescent="0.25">
      <c r="A28" s="176" t="s">
        <v>171</v>
      </c>
      <c r="B28" s="177" t="s">
        <v>348</v>
      </c>
      <c r="C28" s="173"/>
      <c r="D28" s="174"/>
      <c r="E28" s="189"/>
      <c r="F28" s="168">
        <f t="shared" si="0"/>
        <v>0</v>
      </c>
    </row>
    <row r="29" spans="1:8" ht="15" x14ac:dyDescent="0.25">
      <c r="A29" s="173"/>
      <c r="B29" s="192" t="s">
        <v>412</v>
      </c>
      <c r="C29" s="191" t="s">
        <v>38</v>
      </c>
      <c r="D29" s="174">
        <v>11</v>
      </c>
      <c r="E29" s="189"/>
      <c r="F29" s="200">
        <f t="shared" si="0"/>
        <v>0</v>
      </c>
    </row>
    <row r="30" spans="1:8" ht="15" x14ac:dyDescent="0.25">
      <c r="A30" s="173"/>
      <c r="B30" s="175" t="s">
        <v>351</v>
      </c>
      <c r="C30" s="173" t="s">
        <v>9</v>
      </c>
      <c r="D30" s="174">
        <v>340</v>
      </c>
      <c r="E30" s="189"/>
      <c r="F30" s="200">
        <f t="shared" si="0"/>
        <v>0</v>
      </c>
    </row>
    <row r="31" spans="1:8" ht="15" x14ac:dyDescent="0.25">
      <c r="A31" s="173"/>
      <c r="B31" s="175" t="s">
        <v>353</v>
      </c>
      <c r="C31" s="173" t="s">
        <v>9</v>
      </c>
      <c r="D31" s="174">
        <v>55</v>
      </c>
      <c r="E31" s="189"/>
      <c r="F31" s="200">
        <f t="shared" si="0"/>
        <v>0</v>
      </c>
    </row>
    <row r="32" spans="1:8" ht="15" x14ac:dyDescent="0.25">
      <c r="A32" s="173"/>
      <c r="B32" s="192" t="s">
        <v>770</v>
      </c>
      <c r="C32" s="173" t="s">
        <v>66</v>
      </c>
      <c r="D32" s="174">
        <v>11</v>
      </c>
      <c r="E32" s="189"/>
      <c r="F32" s="200">
        <f t="shared" si="0"/>
        <v>0</v>
      </c>
    </row>
    <row r="33" spans="1:8" ht="15" x14ac:dyDescent="0.25">
      <c r="A33" s="173"/>
      <c r="B33" s="192" t="s">
        <v>413</v>
      </c>
      <c r="C33" s="173" t="s">
        <v>9</v>
      </c>
      <c r="D33" s="174">
        <f>D17</f>
        <v>668</v>
      </c>
      <c r="E33" s="189"/>
      <c r="F33" s="200">
        <f t="shared" si="0"/>
        <v>0</v>
      </c>
    </row>
    <row r="34" spans="1:8" ht="15" x14ac:dyDescent="0.25">
      <c r="A34" s="173"/>
      <c r="B34" s="192" t="s">
        <v>762</v>
      </c>
      <c r="C34" s="173" t="s">
        <v>282</v>
      </c>
      <c r="D34" s="174">
        <v>138</v>
      </c>
      <c r="E34" s="189"/>
      <c r="F34" s="200">
        <f t="shared" si="0"/>
        <v>0</v>
      </c>
    </row>
    <row r="35" spans="1:8" ht="15" x14ac:dyDescent="0.25">
      <c r="A35" s="173"/>
      <c r="B35" s="192" t="s">
        <v>771</v>
      </c>
      <c r="C35" s="173" t="s">
        <v>282</v>
      </c>
      <c r="D35" s="174">
        <v>11</v>
      </c>
      <c r="E35" s="189"/>
      <c r="F35" s="200">
        <f t="shared" si="0"/>
        <v>0</v>
      </c>
    </row>
    <row r="36" spans="1:8" ht="15" x14ac:dyDescent="0.25">
      <c r="A36" s="173"/>
      <c r="B36" s="192" t="s">
        <v>772</v>
      </c>
      <c r="C36" s="173" t="s">
        <v>282</v>
      </c>
      <c r="D36" s="174">
        <v>11</v>
      </c>
      <c r="E36" s="189"/>
      <c r="F36" s="200">
        <f t="shared" si="0"/>
        <v>0</v>
      </c>
    </row>
    <row r="37" spans="1:8" ht="15" x14ac:dyDescent="0.25">
      <c r="A37" s="176" t="s">
        <v>364</v>
      </c>
      <c r="B37" s="177" t="s">
        <v>365</v>
      </c>
      <c r="C37" s="173"/>
      <c r="D37" s="174"/>
      <c r="E37" s="189"/>
      <c r="F37" s="168">
        <f t="shared" si="0"/>
        <v>0</v>
      </c>
      <c r="H37" s="183"/>
    </row>
    <row r="38" spans="1:8" ht="26.25" x14ac:dyDescent="0.25">
      <c r="A38" s="173"/>
      <c r="B38" s="178" t="s">
        <v>367</v>
      </c>
      <c r="C38" s="191" t="s">
        <v>728</v>
      </c>
      <c r="D38" s="174">
        <v>21</v>
      </c>
      <c r="E38" s="189"/>
      <c r="F38" s="200">
        <f t="shared" si="0"/>
        <v>0</v>
      </c>
      <c r="H38" s="183"/>
    </row>
    <row r="39" spans="1:8" ht="15" x14ac:dyDescent="0.25">
      <c r="A39" s="173"/>
      <c r="B39" s="177" t="s">
        <v>773</v>
      </c>
      <c r="C39" s="173" t="s">
        <v>282</v>
      </c>
      <c r="D39" s="174">
        <v>1</v>
      </c>
      <c r="E39" s="189"/>
      <c r="F39" s="200">
        <f t="shared" si="0"/>
        <v>0</v>
      </c>
      <c r="H39" s="183"/>
    </row>
    <row r="40" spans="1:8" ht="15" x14ac:dyDescent="0.25">
      <c r="A40" s="173"/>
      <c r="B40" s="177" t="s">
        <v>774</v>
      </c>
      <c r="C40" s="191" t="s">
        <v>775</v>
      </c>
      <c r="D40" s="174"/>
      <c r="E40" s="189"/>
      <c r="F40" s="200"/>
      <c r="H40" s="183"/>
    </row>
    <row r="41" spans="1:8" ht="15" x14ac:dyDescent="0.25">
      <c r="A41" s="173"/>
      <c r="B41" s="177"/>
      <c r="C41" s="173"/>
      <c r="D41" s="174"/>
      <c r="E41" s="189"/>
      <c r="F41" s="200"/>
      <c r="H41" s="183"/>
    </row>
    <row r="42" spans="1:8" ht="15" x14ac:dyDescent="0.25">
      <c r="A42" s="176" t="s">
        <v>370</v>
      </c>
      <c r="B42" s="177" t="s">
        <v>371</v>
      </c>
      <c r="C42" s="173"/>
      <c r="D42" s="174"/>
      <c r="E42" s="189"/>
      <c r="F42" s="200">
        <f t="shared" si="0"/>
        <v>0</v>
      </c>
    </row>
    <row r="43" spans="1:8" ht="26.25" x14ac:dyDescent="0.25">
      <c r="A43" s="173" t="s">
        <v>372</v>
      </c>
      <c r="B43" s="193" t="s">
        <v>399</v>
      </c>
      <c r="C43" s="191" t="s">
        <v>9</v>
      </c>
      <c r="D43" s="174">
        <f>8+38+34</f>
        <v>80</v>
      </c>
      <c r="E43" s="189"/>
      <c r="F43" s="200">
        <f t="shared" si="0"/>
        <v>0</v>
      </c>
    </row>
    <row r="44" spans="1:8" ht="15" x14ac:dyDescent="0.25">
      <c r="A44" s="173" t="s">
        <v>373</v>
      </c>
      <c r="B44" s="192" t="s">
        <v>401</v>
      </c>
      <c r="C44" s="191" t="s">
        <v>9</v>
      </c>
      <c r="D44" s="174">
        <v>80</v>
      </c>
      <c r="E44" s="189"/>
      <c r="F44" s="200">
        <f t="shared" si="0"/>
        <v>0</v>
      </c>
    </row>
    <row r="45" spans="1:8" ht="15" x14ac:dyDescent="0.25">
      <c r="A45" s="173" t="s">
        <v>374</v>
      </c>
      <c r="B45" s="175" t="s">
        <v>375</v>
      </c>
      <c r="C45" s="173" t="s">
        <v>9</v>
      </c>
      <c r="D45" s="174">
        <v>100</v>
      </c>
      <c r="E45" s="189"/>
      <c r="F45" s="200">
        <f t="shared" si="0"/>
        <v>0</v>
      </c>
    </row>
    <row r="46" spans="1:8" ht="26.25" x14ac:dyDescent="0.25">
      <c r="A46" s="173" t="s">
        <v>376</v>
      </c>
      <c r="B46" s="193" t="s">
        <v>400</v>
      </c>
      <c r="C46" s="191" t="s">
        <v>9</v>
      </c>
      <c r="D46" s="174">
        <f>160*2</f>
        <v>320</v>
      </c>
      <c r="E46" s="189"/>
      <c r="F46" s="200">
        <f t="shared" si="0"/>
        <v>0</v>
      </c>
    </row>
    <row r="47" spans="1:8" ht="15" x14ac:dyDescent="0.25">
      <c r="A47" s="173" t="s">
        <v>378</v>
      </c>
      <c r="B47" s="193" t="s">
        <v>402</v>
      </c>
      <c r="C47" s="191" t="s">
        <v>9</v>
      </c>
      <c r="D47" s="174">
        <v>40</v>
      </c>
      <c r="E47" s="189"/>
      <c r="F47" s="200">
        <f t="shared" si="0"/>
        <v>0</v>
      </c>
      <c r="H47" s="183"/>
    </row>
    <row r="48" spans="1:8" ht="26.25" x14ac:dyDescent="0.25">
      <c r="A48" s="173" t="s">
        <v>383</v>
      </c>
      <c r="B48" s="193" t="s">
        <v>403</v>
      </c>
      <c r="C48" s="173" t="s">
        <v>9</v>
      </c>
      <c r="D48" s="174">
        <v>106</v>
      </c>
      <c r="E48" s="189"/>
      <c r="F48" s="200">
        <f t="shared" si="0"/>
        <v>0</v>
      </c>
    </row>
    <row r="49" spans="1:6" ht="51.75" x14ac:dyDescent="0.25">
      <c r="A49" s="173" t="s">
        <v>384</v>
      </c>
      <c r="B49" s="193" t="s">
        <v>405</v>
      </c>
      <c r="C49" s="173" t="s">
        <v>377</v>
      </c>
      <c r="D49" s="174">
        <v>1</v>
      </c>
      <c r="E49" s="189"/>
      <c r="F49" s="200">
        <f t="shared" si="0"/>
        <v>0</v>
      </c>
    </row>
    <row r="50" spans="1:6" ht="26.25" x14ac:dyDescent="0.25">
      <c r="A50" s="173" t="s">
        <v>385</v>
      </c>
      <c r="B50" s="193" t="s">
        <v>404</v>
      </c>
      <c r="C50" s="173" t="s">
        <v>377</v>
      </c>
      <c r="D50" s="174">
        <v>1</v>
      </c>
      <c r="E50" s="189"/>
      <c r="F50" s="200">
        <f t="shared" si="0"/>
        <v>0</v>
      </c>
    </row>
    <row r="51" spans="1:6" ht="15" x14ac:dyDescent="0.25">
      <c r="A51" s="173" t="s">
        <v>386</v>
      </c>
      <c r="B51" s="175" t="s">
        <v>387</v>
      </c>
      <c r="C51" s="173" t="s">
        <v>9</v>
      </c>
      <c r="D51" s="174">
        <v>212</v>
      </c>
      <c r="E51" s="189"/>
      <c r="F51" s="200">
        <f t="shared" si="0"/>
        <v>0</v>
      </c>
    </row>
    <row r="52" spans="1:6" ht="26.25" x14ac:dyDescent="0.25">
      <c r="A52" s="173" t="s">
        <v>388</v>
      </c>
      <c r="B52" s="178" t="s">
        <v>389</v>
      </c>
      <c r="C52" s="173" t="s">
        <v>377</v>
      </c>
      <c r="D52" s="174">
        <v>1</v>
      </c>
      <c r="E52" s="189"/>
      <c r="F52" s="200">
        <f t="shared" si="0"/>
        <v>0</v>
      </c>
    </row>
    <row r="53" spans="1:6" ht="26.25" x14ac:dyDescent="0.25">
      <c r="A53" s="173" t="s">
        <v>390</v>
      </c>
      <c r="B53" s="178" t="s">
        <v>391</v>
      </c>
      <c r="C53" s="173" t="s">
        <v>377</v>
      </c>
      <c r="D53" s="174">
        <v>1</v>
      </c>
      <c r="E53" s="189"/>
      <c r="F53" s="200">
        <f t="shared" si="0"/>
        <v>0</v>
      </c>
    </row>
    <row r="54" spans="1:6" ht="15" x14ac:dyDescent="0.25">
      <c r="A54" s="173" t="s">
        <v>392</v>
      </c>
      <c r="B54" s="192" t="s">
        <v>406</v>
      </c>
      <c r="C54" s="173" t="s">
        <v>39</v>
      </c>
      <c r="D54" s="174">
        <v>1000</v>
      </c>
      <c r="E54" s="189"/>
      <c r="F54" s="200">
        <f t="shared" si="0"/>
        <v>0</v>
      </c>
    </row>
    <row r="55" spans="1:6" ht="15" x14ac:dyDescent="0.25">
      <c r="A55" s="173" t="s">
        <v>393</v>
      </c>
      <c r="B55" s="175" t="s">
        <v>325</v>
      </c>
      <c r="C55" s="173" t="s">
        <v>394</v>
      </c>
      <c r="D55" s="174">
        <v>1</v>
      </c>
      <c r="E55" s="189"/>
      <c r="F55" s="168">
        <f t="shared" si="0"/>
        <v>0</v>
      </c>
    </row>
    <row r="56" spans="1:6" ht="15.75" thickBot="1" x14ac:dyDescent="0.3">
      <c r="A56" s="179" t="s">
        <v>395</v>
      </c>
      <c r="B56" s="180" t="s">
        <v>396</v>
      </c>
      <c r="C56" s="179" t="s">
        <v>38</v>
      </c>
      <c r="D56" s="181">
        <v>10</v>
      </c>
      <c r="E56" s="190"/>
      <c r="F56" s="168">
        <f t="shared" si="0"/>
        <v>0</v>
      </c>
    </row>
    <row r="57" spans="1:6" ht="19.5" thickBot="1" x14ac:dyDescent="0.35">
      <c r="A57" s="250" t="s">
        <v>397</v>
      </c>
      <c r="B57" s="251"/>
      <c r="C57" s="251"/>
      <c r="D57" s="251"/>
      <c r="E57" s="252"/>
      <c r="F57" s="182">
        <f>SUM(F7:F56)</f>
        <v>0</v>
      </c>
    </row>
  </sheetData>
  <mergeCells count="4">
    <mergeCell ref="A3:F3"/>
    <mergeCell ref="A4:F4"/>
    <mergeCell ref="B7:D7"/>
    <mergeCell ref="A57:E5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8"/>
  <sheetViews>
    <sheetView workbookViewId="0">
      <selection activeCell="F42" sqref="F42"/>
    </sheetView>
  </sheetViews>
  <sheetFormatPr baseColWidth="10" defaultRowHeight="15" x14ac:dyDescent="0.25"/>
  <cols>
    <col min="1" max="1" width="4.140625" customWidth="1"/>
    <col min="2" max="2" width="52.28515625" customWidth="1"/>
    <col min="3" max="3" width="6" customWidth="1"/>
    <col min="4" max="4" width="8.5703125" style="223" customWidth="1"/>
    <col min="5" max="5" width="13" customWidth="1"/>
    <col min="6" max="7" width="14" customWidth="1"/>
    <col min="253" max="253" width="3.140625" customWidth="1"/>
    <col min="254" max="254" width="47.28515625" customWidth="1"/>
    <col min="255" max="255" width="4.140625" customWidth="1"/>
    <col min="256" max="256" width="8.5703125" customWidth="1"/>
    <col min="257" max="257" width="10.7109375" customWidth="1"/>
    <col min="258" max="259" width="14" customWidth="1"/>
    <col min="509" max="509" width="3.140625" customWidth="1"/>
    <col min="510" max="510" width="47.28515625" customWidth="1"/>
    <col min="511" max="511" width="4.140625" customWidth="1"/>
    <col min="512" max="512" width="8.5703125" customWidth="1"/>
    <col min="513" max="513" width="10.7109375" customWidth="1"/>
    <col min="514" max="515" width="14" customWidth="1"/>
    <col min="765" max="765" width="3.140625" customWidth="1"/>
    <col min="766" max="766" width="47.28515625" customWidth="1"/>
    <col min="767" max="767" width="4.140625" customWidth="1"/>
    <col min="768" max="768" width="8.5703125" customWidth="1"/>
    <col min="769" max="769" width="10.7109375" customWidth="1"/>
    <col min="770" max="771" width="14" customWidth="1"/>
    <col min="1021" max="1021" width="3.140625" customWidth="1"/>
    <col min="1022" max="1022" width="47.28515625" customWidth="1"/>
    <col min="1023" max="1023" width="4.140625" customWidth="1"/>
    <col min="1024" max="1024" width="8.5703125" customWidth="1"/>
    <col min="1025" max="1025" width="10.7109375" customWidth="1"/>
    <col min="1026" max="1027" width="14" customWidth="1"/>
    <col min="1277" max="1277" width="3.140625" customWidth="1"/>
    <col min="1278" max="1278" width="47.28515625" customWidth="1"/>
    <col min="1279" max="1279" width="4.140625" customWidth="1"/>
    <col min="1280" max="1280" width="8.5703125" customWidth="1"/>
    <col min="1281" max="1281" width="10.7109375" customWidth="1"/>
    <col min="1282" max="1283" width="14" customWidth="1"/>
    <col min="1533" max="1533" width="3.140625" customWidth="1"/>
    <col min="1534" max="1534" width="47.28515625" customWidth="1"/>
    <col min="1535" max="1535" width="4.140625" customWidth="1"/>
    <col min="1536" max="1536" width="8.5703125" customWidth="1"/>
    <col min="1537" max="1537" width="10.7109375" customWidth="1"/>
    <col min="1538" max="1539" width="14" customWidth="1"/>
    <col min="1789" max="1789" width="3.140625" customWidth="1"/>
    <col min="1790" max="1790" width="47.28515625" customWidth="1"/>
    <col min="1791" max="1791" width="4.140625" customWidth="1"/>
    <col min="1792" max="1792" width="8.5703125" customWidth="1"/>
    <col min="1793" max="1793" width="10.7109375" customWidth="1"/>
    <col min="1794" max="1795" width="14" customWidth="1"/>
    <col min="2045" max="2045" width="3.140625" customWidth="1"/>
    <col min="2046" max="2046" width="47.28515625" customWidth="1"/>
    <col min="2047" max="2047" width="4.140625" customWidth="1"/>
    <col min="2048" max="2048" width="8.5703125" customWidth="1"/>
    <col min="2049" max="2049" width="10.7109375" customWidth="1"/>
    <col min="2050" max="2051" width="14" customWidth="1"/>
    <col min="2301" max="2301" width="3.140625" customWidth="1"/>
    <col min="2302" max="2302" width="47.28515625" customWidth="1"/>
    <col min="2303" max="2303" width="4.140625" customWidth="1"/>
    <col min="2304" max="2304" width="8.5703125" customWidth="1"/>
    <col min="2305" max="2305" width="10.7109375" customWidth="1"/>
    <col min="2306" max="2307" width="14" customWidth="1"/>
    <col min="2557" max="2557" width="3.140625" customWidth="1"/>
    <col min="2558" max="2558" width="47.28515625" customWidth="1"/>
    <col min="2559" max="2559" width="4.140625" customWidth="1"/>
    <col min="2560" max="2560" width="8.5703125" customWidth="1"/>
    <col min="2561" max="2561" width="10.7109375" customWidth="1"/>
    <col min="2562" max="2563" width="14" customWidth="1"/>
    <col min="2813" max="2813" width="3.140625" customWidth="1"/>
    <col min="2814" max="2814" width="47.28515625" customWidth="1"/>
    <col min="2815" max="2815" width="4.140625" customWidth="1"/>
    <col min="2816" max="2816" width="8.5703125" customWidth="1"/>
    <col min="2817" max="2817" width="10.7109375" customWidth="1"/>
    <col min="2818" max="2819" width="14" customWidth="1"/>
    <col min="3069" max="3069" width="3.140625" customWidth="1"/>
    <col min="3070" max="3070" width="47.28515625" customWidth="1"/>
    <col min="3071" max="3071" width="4.140625" customWidth="1"/>
    <col min="3072" max="3072" width="8.5703125" customWidth="1"/>
    <col min="3073" max="3073" width="10.7109375" customWidth="1"/>
    <col min="3074" max="3075" width="14" customWidth="1"/>
    <col min="3325" max="3325" width="3.140625" customWidth="1"/>
    <col min="3326" max="3326" width="47.28515625" customWidth="1"/>
    <col min="3327" max="3327" width="4.140625" customWidth="1"/>
    <col min="3328" max="3328" width="8.5703125" customWidth="1"/>
    <col min="3329" max="3329" width="10.7109375" customWidth="1"/>
    <col min="3330" max="3331" width="14" customWidth="1"/>
    <col min="3581" max="3581" width="3.140625" customWidth="1"/>
    <col min="3582" max="3582" width="47.28515625" customWidth="1"/>
    <col min="3583" max="3583" width="4.140625" customWidth="1"/>
    <col min="3584" max="3584" width="8.5703125" customWidth="1"/>
    <col min="3585" max="3585" width="10.7109375" customWidth="1"/>
    <col min="3586" max="3587" width="14" customWidth="1"/>
    <col min="3837" max="3837" width="3.140625" customWidth="1"/>
    <col min="3838" max="3838" width="47.28515625" customWidth="1"/>
    <col min="3839" max="3839" width="4.140625" customWidth="1"/>
    <col min="3840" max="3840" width="8.5703125" customWidth="1"/>
    <col min="3841" max="3841" width="10.7109375" customWidth="1"/>
    <col min="3842" max="3843" width="14" customWidth="1"/>
    <col min="4093" max="4093" width="3.140625" customWidth="1"/>
    <col min="4094" max="4094" width="47.28515625" customWidth="1"/>
    <col min="4095" max="4095" width="4.140625" customWidth="1"/>
    <col min="4096" max="4096" width="8.5703125" customWidth="1"/>
    <col min="4097" max="4097" width="10.7109375" customWidth="1"/>
    <col min="4098" max="4099" width="14" customWidth="1"/>
    <col min="4349" max="4349" width="3.140625" customWidth="1"/>
    <col min="4350" max="4350" width="47.28515625" customWidth="1"/>
    <col min="4351" max="4351" width="4.140625" customWidth="1"/>
    <col min="4352" max="4352" width="8.5703125" customWidth="1"/>
    <col min="4353" max="4353" width="10.7109375" customWidth="1"/>
    <col min="4354" max="4355" width="14" customWidth="1"/>
    <col min="4605" max="4605" width="3.140625" customWidth="1"/>
    <col min="4606" max="4606" width="47.28515625" customWidth="1"/>
    <col min="4607" max="4607" width="4.140625" customWidth="1"/>
    <col min="4608" max="4608" width="8.5703125" customWidth="1"/>
    <col min="4609" max="4609" width="10.7109375" customWidth="1"/>
    <col min="4610" max="4611" width="14" customWidth="1"/>
    <col min="4861" max="4861" width="3.140625" customWidth="1"/>
    <col min="4862" max="4862" width="47.28515625" customWidth="1"/>
    <col min="4863" max="4863" width="4.140625" customWidth="1"/>
    <col min="4864" max="4864" width="8.5703125" customWidth="1"/>
    <col min="4865" max="4865" width="10.7109375" customWidth="1"/>
    <col min="4866" max="4867" width="14" customWidth="1"/>
    <col min="5117" max="5117" width="3.140625" customWidth="1"/>
    <col min="5118" max="5118" width="47.28515625" customWidth="1"/>
    <col min="5119" max="5119" width="4.140625" customWidth="1"/>
    <col min="5120" max="5120" width="8.5703125" customWidth="1"/>
    <col min="5121" max="5121" width="10.7109375" customWidth="1"/>
    <col min="5122" max="5123" width="14" customWidth="1"/>
    <col min="5373" max="5373" width="3.140625" customWidth="1"/>
    <col min="5374" max="5374" width="47.28515625" customWidth="1"/>
    <col min="5375" max="5375" width="4.140625" customWidth="1"/>
    <col min="5376" max="5376" width="8.5703125" customWidth="1"/>
    <col min="5377" max="5377" width="10.7109375" customWidth="1"/>
    <col min="5378" max="5379" width="14" customWidth="1"/>
    <col min="5629" max="5629" width="3.140625" customWidth="1"/>
    <col min="5630" max="5630" width="47.28515625" customWidth="1"/>
    <col min="5631" max="5631" width="4.140625" customWidth="1"/>
    <col min="5632" max="5632" width="8.5703125" customWidth="1"/>
    <col min="5633" max="5633" width="10.7109375" customWidth="1"/>
    <col min="5634" max="5635" width="14" customWidth="1"/>
    <col min="5885" max="5885" width="3.140625" customWidth="1"/>
    <col min="5886" max="5886" width="47.28515625" customWidth="1"/>
    <col min="5887" max="5887" width="4.140625" customWidth="1"/>
    <col min="5888" max="5888" width="8.5703125" customWidth="1"/>
    <col min="5889" max="5889" width="10.7109375" customWidth="1"/>
    <col min="5890" max="5891" width="14" customWidth="1"/>
    <col min="6141" max="6141" width="3.140625" customWidth="1"/>
    <col min="6142" max="6142" width="47.28515625" customWidth="1"/>
    <col min="6143" max="6143" width="4.140625" customWidth="1"/>
    <col min="6144" max="6144" width="8.5703125" customWidth="1"/>
    <col min="6145" max="6145" width="10.7109375" customWidth="1"/>
    <col min="6146" max="6147" width="14" customWidth="1"/>
    <col min="6397" max="6397" width="3.140625" customWidth="1"/>
    <col min="6398" max="6398" width="47.28515625" customWidth="1"/>
    <col min="6399" max="6399" width="4.140625" customWidth="1"/>
    <col min="6400" max="6400" width="8.5703125" customWidth="1"/>
    <col min="6401" max="6401" width="10.7109375" customWidth="1"/>
    <col min="6402" max="6403" width="14" customWidth="1"/>
    <col min="6653" max="6653" width="3.140625" customWidth="1"/>
    <col min="6654" max="6654" width="47.28515625" customWidth="1"/>
    <col min="6655" max="6655" width="4.140625" customWidth="1"/>
    <col min="6656" max="6656" width="8.5703125" customWidth="1"/>
    <col min="6657" max="6657" width="10.7109375" customWidth="1"/>
    <col min="6658" max="6659" width="14" customWidth="1"/>
    <col min="6909" max="6909" width="3.140625" customWidth="1"/>
    <col min="6910" max="6910" width="47.28515625" customWidth="1"/>
    <col min="6911" max="6911" width="4.140625" customWidth="1"/>
    <col min="6912" max="6912" width="8.5703125" customWidth="1"/>
    <col min="6913" max="6913" width="10.7109375" customWidth="1"/>
    <col min="6914" max="6915" width="14" customWidth="1"/>
    <col min="7165" max="7165" width="3.140625" customWidth="1"/>
    <col min="7166" max="7166" width="47.28515625" customWidth="1"/>
    <col min="7167" max="7167" width="4.140625" customWidth="1"/>
    <col min="7168" max="7168" width="8.5703125" customWidth="1"/>
    <col min="7169" max="7169" width="10.7109375" customWidth="1"/>
    <col min="7170" max="7171" width="14" customWidth="1"/>
    <col min="7421" max="7421" width="3.140625" customWidth="1"/>
    <col min="7422" max="7422" width="47.28515625" customWidth="1"/>
    <col min="7423" max="7423" width="4.140625" customWidth="1"/>
    <col min="7424" max="7424" width="8.5703125" customWidth="1"/>
    <col min="7425" max="7425" width="10.7109375" customWidth="1"/>
    <col min="7426" max="7427" width="14" customWidth="1"/>
    <col min="7677" max="7677" width="3.140625" customWidth="1"/>
    <col min="7678" max="7678" width="47.28515625" customWidth="1"/>
    <col min="7679" max="7679" width="4.140625" customWidth="1"/>
    <col min="7680" max="7680" width="8.5703125" customWidth="1"/>
    <col min="7681" max="7681" width="10.7109375" customWidth="1"/>
    <col min="7682" max="7683" width="14" customWidth="1"/>
    <col min="7933" max="7933" width="3.140625" customWidth="1"/>
    <col min="7934" max="7934" width="47.28515625" customWidth="1"/>
    <col min="7935" max="7935" width="4.140625" customWidth="1"/>
    <col min="7936" max="7936" width="8.5703125" customWidth="1"/>
    <col min="7937" max="7937" width="10.7109375" customWidth="1"/>
    <col min="7938" max="7939" width="14" customWidth="1"/>
    <col min="8189" max="8189" width="3.140625" customWidth="1"/>
    <col min="8190" max="8190" width="47.28515625" customWidth="1"/>
    <col min="8191" max="8191" width="4.140625" customWidth="1"/>
    <col min="8192" max="8192" width="8.5703125" customWidth="1"/>
    <col min="8193" max="8193" width="10.7109375" customWidth="1"/>
    <col min="8194" max="8195" width="14" customWidth="1"/>
    <col min="8445" max="8445" width="3.140625" customWidth="1"/>
    <col min="8446" max="8446" width="47.28515625" customWidth="1"/>
    <col min="8447" max="8447" width="4.140625" customWidth="1"/>
    <col min="8448" max="8448" width="8.5703125" customWidth="1"/>
    <col min="8449" max="8449" width="10.7109375" customWidth="1"/>
    <col min="8450" max="8451" width="14" customWidth="1"/>
    <col min="8701" max="8701" width="3.140625" customWidth="1"/>
    <col min="8702" max="8702" width="47.28515625" customWidth="1"/>
    <col min="8703" max="8703" width="4.140625" customWidth="1"/>
    <col min="8704" max="8704" width="8.5703125" customWidth="1"/>
    <col min="8705" max="8705" width="10.7109375" customWidth="1"/>
    <col min="8706" max="8707" width="14" customWidth="1"/>
    <col min="8957" max="8957" width="3.140625" customWidth="1"/>
    <col min="8958" max="8958" width="47.28515625" customWidth="1"/>
    <col min="8959" max="8959" width="4.140625" customWidth="1"/>
    <col min="8960" max="8960" width="8.5703125" customWidth="1"/>
    <col min="8961" max="8961" width="10.7109375" customWidth="1"/>
    <col min="8962" max="8963" width="14" customWidth="1"/>
    <col min="9213" max="9213" width="3.140625" customWidth="1"/>
    <col min="9214" max="9214" width="47.28515625" customWidth="1"/>
    <col min="9215" max="9215" width="4.140625" customWidth="1"/>
    <col min="9216" max="9216" width="8.5703125" customWidth="1"/>
    <col min="9217" max="9217" width="10.7109375" customWidth="1"/>
    <col min="9218" max="9219" width="14" customWidth="1"/>
    <col min="9469" max="9469" width="3.140625" customWidth="1"/>
    <col min="9470" max="9470" width="47.28515625" customWidth="1"/>
    <col min="9471" max="9471" width="4.140625" customWidth="1"/>
    <col min="9472" max="9472" width="8.5703125" customWidth="1"/>
    <col min="9473" max="9473" width="10.7109375" customWidth="1"/>
    <col min="9474" max="9475" width="14" customWidth="1"/>
    <col min="9725" max="9725" width="3.140625" customWidth="1"/>
    <col min="9726" max="9726" width="47.28515625" customWidth="1"/>
    <col min="9727" max="9727" width="4.140625" customWidth="1"/>
    <col min="9728" max="9728" width="8.5703125" customWidth="1"/>
    <col min="9729" max="9729" width="10.7109375" customWidth="1"/>
    <col min="9730" max="9731" width="14" customWidth="1"/>
    <col min="9981" max="9981" width="3.140625" customWidth="1"/>
    <col min="9982" max="9982" width="47.28515625" customWidth="1"/>
    <col min="9983" max="9983" width="4.140625" customWidth="1"/>
    <col min="9984" max="9984" width="8.5703125" customWidth="1"/>
    <col min="9985" max="9985" width="10.7109375" customWidth="1"/>
    <col min="9986" max="9987" width="14" customWidth="1"/>
    <col min="10237" max="10237" width="3.140625" customWidth="1"/>
    <col min="10238" max="10238" width="47.28515625" customWidth="1"/>
    <col min="10239" max="10239" width="4.140625" customWidth="1"/>
    <col min="10240" max="10240" width="8.5703125" customWidth="1"/>
    <col min="10241" max="10241" width="10.7109375" customWidth="1"/>
    <col min="10242" max="10243" width="14" customWidth="1"/>
    <col min="10493" max="10493" width="3.140625" customWidth="1"/>
    <col min="10494" max="10494" width="47.28515625" customWidth="1"/>
    <col min="10495" max="10495" width="4.140625" customWidth="1"/>
    <col min="10496" max="10496" width="8.5703125" customWidth="1"/>
    <col min="10497" max="10497" width="10.7109375" customWidth="1"/>
    <col min="10498" max="10499" width="14" customWidth="1"/>
    <col min="10749" max="10749" width="3.140625" customWidth="1"/>
    <col min="10750" max="10750" width="47.28515625" customWidth="1"/>
    <col min="10751" max="10751" width="4.140625" customWidth="1"/>
    <col min="10752" max="10752" width="8.5703125" customWidth="1"/>
    <col min="10753" max="10753" width="10.7109375" customWidth="1"/>
    <col min="10754" max="10755" width="14" customWidth="1"/>
    <col min="11005" max="11005" width="3.140625" customWidth="1"/>
    <col min="11006" max="11006" width="47.28515625" customWidth="1"/>
    <col min="11007" max="11007" width="4.140625" customWidth="1"/>
    <col min="11008" max="11008" width="8.5703125" customWidth="1"/>
    <col min="11009" max="11009" width="10.7109375" customWidth="1"/>
    <col min="11010" max="11011" width="14" customWidth="1"/>
    <col min="11261" max="11261" width="3.140625" customWidth="1"/>
    <col min="11262" max="11262" width="47.28515625" customWidth="1"/>
    <col min="11263" max="11263" width="4.140625" customWidth="1"/>
    <col min="11264" max="11264" width="8.5703125" customWidth="1"/>
    <col min="11265" max="11265" width="10.7109375" customWidth="1"/>
    <col min="11266" max="11267" width="14" customWidth="1"/>
    <col min="11517" max="11517" width="3.140625" customWidth="1"/>
    <col min="11518" max="11518" width="47.28515625" customWidth="1"/>
    <col min="11519" max="11519" width="4.140625" customWidth="1"/>
    <col min="11520" max="11520" width="8.5703125" customWidth="1"/>
    <col min="11521" max="11521" width="10.7109375" customWidth="1"/>
    <col min="11522" max="11523" width="14" customWidth="1"/>
    <col min="11773" max="11773" width="3.140625" customWidth="1"/>
    <col min="11774" max="11774" width="47.28515625" customWidth="1"/>
    <col min="11775" max="11775" width="4.140625" customWidth="1"/>
    <col min="11776" max="11776" width="8.5703125" customWidth="1"/>
    <col min="11777" max="11777" width="10.7109375" customWidth="1"/>
    <col min="11778" max="11779" width="14" customWidth="1"/>
    <col min="12029" max="12029" width="3.140625" customWidth="1"/>
    <col min="12030" max="12030" width="47.28515625" customWidth="1"/>
    <col min="12031" max="12031" width="4.140625" customWidth="1"/>
    <col min="12032" max="12032" width="8.5703125" customWidth="1"/>
    <col min="12033" max="12033" width="10.7109375" customWidth="1"/>
    <col min="12034" max="12035" width="14" customWidth="1"/>
    <col min="12285" max="12285" width="3.140625" customWidth="1"/>
    <col min="12286" max="12286" width="47.28515625" customWidth="1"/>
    <col min="12287" max="12287" width="4.140625" customWidth="1"/>
    <col min="12288" max="12288" width="8.5703125" customWidth="1"/>
    <col min="12289" max="12289" width="10.7109375" customWidth="1"/>
    <col min="12290" max="12291" width="14" customWidth="1"/>
    <col min="12541" max="12541" width="3.140625" customWidth="1"/>
    <col min="12542" max="12542" width="47.28515625" customWidth="1"/>
    <col min="12543" max="12543" width="4.140625" customWidth="1"/>
    <col min="12544" max="12544" width="8.5703125" customWidth="1"/>
    <col min="12545" max="12545" width="10.7109375" customWidth="1"/>
    <col min="12546" max="12547" width="14" customWidth="1"/>
    <col min="12797" max="12797" width="3.140625" customWidth="1"/>
    <col min="12798" max="12798" width="47.28515625" customWidth="1"/>
    <col min="12799" max="12799" width="4.140625" customWidth="1"/>
    <col min="12800" max="12800" width="8.5703125" customWidth="1"/>
    <col min="12801" max="12801" width="10.7109375" customWidth="1"/>
    <col min="12802" max="12803" width="14" customWidth="1"/>
    <col min="13053" max="13053" width="3.140625" customWidth="1"/>
    <col min="13054" max="13054" width="47.28515625" customWidth="1"/>
    <col min="13055" max="13055" width="4.140625" customWidth="1"/>
    <col min="13056" max="13056" width="8.5703125" customWidth="1"/>
    <col min="13057" max="13057" width="10.7109375" customWidth="1"/>
    <col min="13058" max="13059" width="14" customWidth="1"/>
    <col min="13309" max="13309" width="3.140625" customWidth="1"/>
    <col min="13310" max="13310" width="47.28515625" customWidth="1"/>
    <col min="13311" max="13311" width="4.140625" customWidth="1"/>
    <col min="13312" max="13312" width="8.5703125" customWidth="1"/>
    <col min="13313" max="13313" width="10.7109375" customWidth="1"/>
    <col min="13314" max="13315" width="14" customWidth="1"/>
    <col min="13565" max="13565" width="3.140625" customWidth="1"/>
    <col min="13566" max="13566" width="47.28515625" customWidth="1"/>
    <col min="13567" max="13567" width="4.140625" customWidth="1"/>
    <col min="13568" max="13568" width="8.5703125" customWidth="1"/>
    <col min="13569" max="13569" width="10.7109375" customWidth="1"/>
    <col min="13570" max="13571" width="14" customWidth="1"/>
    <col min="13821" max="13821" width="3.140625" customWidth="1"/>
    <col min="13822" max="13822" width="47.28515625" customWidth="1"/>
    <col min="13823" max="13823" width="4.140625" customWidth="1"/>
    <col min="13824" max="13824" width="8.5703125" customWidth="1"/>
    <col min="13825" max="13825" width="10.7109375" customWidth="1"/>
    <col min="13826" max="13827" width="14" customWidth="1"/>
    <col min="14077" max="14077" width="3.140625" customWidth="1"/>
    <col min="14078" max="14078" width="47.28515625" customWidth="1"/>
    <col min="14079" max="14079" width="4.140625" customWidth="1"/>
    <col min="14080" max="14080" width="8.5703125" customWidth="1"/>
    <col min="14081" max="14081" width="10.7109375" customWidth="1"/>
    <col min="14082" max="14083" width="14" customWidth="1"/>
    <col min="14333" max="14333" width="3.140625" customWidth="1"/>
    <col min="14334" max="14334" width="47.28515625" customWidth="1"/>
    <col min="14335" max="14335" width="4.140625" customWidth="1"/>
    <col min="14336" max="14336" width="8.5703125" customWidth="1"/>
    <col min="14337" max="14337" width="10.7109375" customWidth="1"/>
    <col min="14338" max="14339" width="14" customWidth="1"/>
    <col min="14589" max="14589" width="3.140625" customWidth="1"/>
    <col min="14590" max="14590" width="47.28515625" customWidth="1"/>
    <col min="14591" max="14591" width="4.140625" customWidth="1"/>
    <col min="14592" max="14592" width="8.5703125" customWidth="1"/>
    <col min="14593" max="14593" width="10.7109375" customWidth="1"/>
    <col min="14594" max="14595" width="14" customWidth="1"/>
    <col min="14845" max="14845" width="3.140625" customWidth="1"/>
    <col min="14846" max="14846" width="47.28515625" customWidth="1"/>
    <col min="14847" max="14847" width="4.140625" customWidth="1"/>
    <col min="14848" max="14848" width="8.5703125" customWidth="1"/>
    <col min="14849" max="14849" width="10.7109375" customWidth="1"/>
    <col min="14850" max="14851" width="14" customWidth="1"/>
    <col min="15101" max="15101" width="3.140625" customWidth="1"/>
    <col min="15102" max="15102" width="47.28515625" customWidth="1"/>
    <col min="15103" max="15103" width="4.140625" customWidth="1"/>
    <col min="15104" max="15104" width="8.5703125" customWidth="1"/>
    <col min="15105" max="15105" width="10.7109375" customWidth="1"/>
    <col min="15106" max="15107" width="14" customWidth="1"/>
    <col min="15357" max="15357" width="3.140625" customWidth="1"/>
    <col min="15358" max="15358" width="47.28515625" customWidth="1"/>
    <col min="15359" max="15359" width="4.140625" customWidth="1"/>
    <col min="15360" max="15360" width="8.5703125" customWidth="1"/>
    <col min="15361" max="15361" width="10.7109375" customWidth="1"/>
    <col min="15362" max="15363" width="14" customWidth="1"/>
    <col min="15613" max="15613" width="3.140625" customWidth="1"/>
    <col min="15614" max="15614" width="47.28515625" customWidth="1"/>
    <col min="15615" max="15615" width="4.140625" customWidth="1"/>
    <col min="15616" max="15616" width="8.5703125" customWidth="1"/>
    <col min="15617" max="15617" width="10.7109375" customWidth="1"/>
    <col min="15618" max="15619" width="14" customWidth="1"/>
    <col min="15869" max="15869" width="3.140625" customWidth="1"/>
    <col min="15870" max="15870" width="47.28515625" customWidth="1"/>
    <col min="15871" max="15871" width="4.140625" customWidth="1"/>
    <col min="15872" max="15872" width="8.5703125" customWidth="1"/>
    <col min="15873" max="15873" width="10.7109375" customWidth="1"/>
    <col min="15874" max="15875" width="14" customWidth="1"/>
    <col min="16125" max="16125" width="3.140625" customWidth="1"/>
    <col min="16126" max="16126" width="47.28515625" customWidth="1"/>
    <col min="16127" max="16127" width="4.140625" customWidth="1"/>
    <col min="16128" max="16128" width="8.5703125" customWidth="1"/>
    <col min="16129" max="16129" width="10.7109375" customWidth="1"/>
    <col min="16130" max="16131" width="14" customWidth="1"/>
  </cols>
  <sheetData>
    <row r="1" spans="1:6" ht="26.25" customHeight="1" thickBot="1" x14ac:dyDescent="0.45">
      <c r="A1" s="253" t="s">
        <v>187</v>
      </c>
      <c r="B1" s="253"/>
      <c r="C1" s="253"/>
      <c r="D1" s="253"/>
      <c r="E1" s="253"/>
      <c r="F1" s="253"/>
    </row>
    <row r="2" spans="1:6" ht="19.5" thickBot="1" x14ac:dyDescent="0.35">
      <c r="A2" s="254" t="s">
        <v>424</v>
      </c>
      <c r="B2" s="255"/>
      <c r="C2" s="255"/>
      <c r="D2" s="255"/>
      <c r="E2" s="255"/>
      <c r="F2" s="256"/>
    </row>
    <row r="3" spans="1:6" ht="17.25" customHeight="1" thickBot="1" x14ac:dyDescent="0.25">
      <c r="A3" t="s">
        <v>398</v>
      </c>
      <c r="B3" s="151"/>
      <c r="D3"/>
      <c r="E3" s="154"/>
      <c r="F3" s="155"/>
    </row>
    <row r="4" spans="1:6" ht="17.25" customHeight="1" x14ac:dyDescent="0.25">
      <c r="A4" s="156" t="s">
        <v>0</v>
      </c>
      <c r="B4" s="157" t="s">
        <v>189</v>
      </c>
      <c r="C4" s="158" t="s">
        <v>190</v>
      </c>
      <c r="D4" s="158" t="s">
        <v>191</v>
      </c>
      <c r="E4" s="159" t="s">
        <v>192</v>
      </c>
      <c r="F4" s="160" t="s">
        <v>5</v>
      </c>
    </row>
    <row r="5" spans="1:6" ht="17.25" customHeight="1" x14ac:dyDescent="0.25">
      <c r="A5" s="257" t="s">
        <v>193</v>
      </c>
      <c r="B5" s="258"/>
      <c r="C5" s="161"/>
      <c r="D5" s="161"/>
      <c r="E5" s="162"/>
      <c r="F5" s="163"/>
    </row>
    <row r="6" spans="1:6" ht="17.25" customHeight="1" x14ac:dyDescent="0.25">
      <c r="A6" s="169" t="s">
        <v>198</v>
      </c>
      <c r="B6" s="170" t="s">
        <v>199</v>
      </c>
      <c r="C6" s="171"/>
      <c r="D6" s="171"/>
      <c r="E6" s="188"/>
      <c r="F6" s="168"/>
    </row>
    <row r="7" spans="1:6" ht="17.25" customHeight="1" x14ac:dyDescent="0.25">
      <c r="A7" s="172" t="s">
        <v>128</v>
      </c>
      <c r="B7" s="170" t="s">
        <v>201</v>
      </c>
      <c r="C7" s="173"/>
      <c r="D7" s="174"/>
      <c r="E7" s="188"/>
      <c r="F7" s="168"/>
    </row>
    <row r="8" spans="1:6" ht="17.25" customHeight="1" x14ac:dyDescent="0.25">
      <c r="A8" s="173"/>
      <c r="B8" s="192" t="s">
        <v>726</v>
      </c>
      <c r="C8" s="173" t="s">
        <v>203</v>
      </c>
      <c r="D8" s="174">
        <f>200+89</f>
        <v>289</v>
      </c>
      <c r="E8" s="189"/>
      <c r="F8" s="200">
        <f t="shared" ref="F8:F41" si="0">E8*D8</f>
        <v>0</v>
      </c>
    </row>
    <row r="9" spans="1:6" ht="17.25" customHeight="1" x14ac:dyDescent="0.25">
      <c r="A9" s="173"/>
      <c r="B9" s="175" t="s">
        <v>205</v>
      </c>
      <c r="C9" s="173" t="s">
        <v>203</v>
      </c>
      <c r="D9" s="174">
        <v>35</v>
      </c>
      <c r="E9" s="189"/>
      <c r="F9" s="200">
        <f t="shared" si="0"/>
        <v>0</v>
      </c>
    </row>
    <row r="10" spans="1:6" ht="17.25" customHeight="1" x14ac:dyDescent="0.25">
      <c r="A10" s="173"/>
      <c r="B10" s="175" t="s">
        <v>727</v>
      </c>
      <c r="C10" s="173" t="s">
        <v>9</v>
      </c>
      <c r="D10" s="174">
        <v>87</v>
      </c>
      <c r="E10" s="189"/>
      <c r="F10" s="200">
        <f t="shared" si="0"/>
        <v>0</v>
      </c>
    </row>
    <row r="11" spans="1:6" ht="17.25" customHeight="1" x14ac:dyDescent="0.25">
      <c r="A11" s="173"/>
      <c r="B11" s="175" t="s">
        <v>729</v>
      </c>
      <c r="C11" s="173" t="s">
        <v>9</v>
      </c>
      <c r="D11" s="174">
        <v>152</v>
      </c>
      <c r="E11" s="189"/>
      <c r="F11" s="200">
        <f t="shared" si="0"/>
        <v>0</v>
      </c>
    </row>
    <row r="12" spans="1:6" ht="17.25" customHeight="1" x14ac:dyDescent="0.25">
      <c r="A12" s="173"/>
      <c r="B12" s="175" t="s">
        <v>731</v>
      </c>
      <c r="C12" s="173" t="s">
        <v>9</v>
      </c>
      <c r="D12" s="174">
        <v>20</v>
      </c>
      <c r="E12" s="189"/>
      <c r="F12" s="200">
        <f t="shared" si="0"/>
        <v>0</v>
      </c>
    </row>
    <row r="13" spans="1:6" ht="17.25" customHeight="1" x14ac:dyDescent="0.25">
      <c r="A13" s="173"/>
      <c r="B13" s="192" t="s">
        <v>730</v>
      </c>
      <c r="C13" s="191" t="s">
        <v>9</v>
      </c>
      <c r="D13" s="174">
        <v>196</v>
      </c>
      <c r="E13" s="189"/>
      <c r="F13" s="200">
        <f t="shared" si="0"/>
        <v>0</v>
      </c>
    </row>
    <row r="14" spans="1:6" ht="17.25" customHeight="1" x14ac:dyDescent="0.25">
      <c r="A14" s="176" t="s">
        <v>213</v>
      </c>
      <c r="B14" s="177" t="s">
        <v>214</v>
      </c>
      <c r="C14" s="173"/>
      <c r="D14" s="174"/>
      <c r="E14" s="189"/>
      <c r="F14" s="200"/>
    </row>
    <row r="15" spans="1:6" ht="17.25" customHeight="1" x14ac:dyDescent="0.25">
      <c r="A15" s="173"/>
      <c r="B15" s="175" t="s">
        <v>732</v>
      </c>
      <c r="C15" s="173" t="s">
        <v>9</v>
      </c>
      <c r="D15" s="174">
        <v>260</v>
      </c>
      <c r="E15" s="189"/>
      <c r="F15" s="200">
        <f t="shared" si="0"/>
        <v>0</v>
      </c>
    </row>
    <row r="16" spans="1:6" ht="17.25" customHeight="1" x14ac:dyDescent="0.25">
      <c r="A16" s="173"/>
      <c r="B16" s="192" t="s">
        <v>733</v>
      </c>
      <c r="C16" s="173" t="s">
        <v>9</v>
      </c>
      <c r="D16" s="174">
        <v>29</v>
      </c>
      <c r="E16" s="189"/>
      <c r="F16" s="200">
        <f t="shared" si="0"/>
        <v>0</v>
      </c>
    </row>
    <row r="17" spans="1:7" ht="17.25" customHeight="1" x14ac:dyDescent="0.25">
      <c r="A17" s="173"/>
      <c r="B17" s="192" t="s">
        <v>734</v>
      </c>
      <c r="C17" s="173" t="s">
        <v>9</v>
      </c>
      <c r="D17" s="174">
        <f>152+6</f>
        <v>158</v>
      </c>
      <c r="E17" s="189"/>
      <c r="F17" s="200">
        <f t="shared" si="0"/>
        <v>0</v>
      </c>
    </row>
    <row r="18" spans="1:7" s="290" customFormat="1" ht="17.25" customHeight="1" x14ac:dyDescent="0.25">
      <c r="A18" s="336"/>
      <c r="B18" s="342" t="s">
        <v>735</v>
      </c>
      <c r="C18" s="343" t="s">
        <v>9</v>
      </c>
      <c r="D18" s="338">
        <v>10</v>
      </c>
      <c r="E18" s="339"/>
      <c r="F18" s="340">
        <f t="shared" si="0"/>
        <v>0</v>
      </c>
      <c r="G18" s="350">
        <f>SUM(F8:F18)</f>
        <v>0</v>
      </c>
    </row>
    <row r="19" spans="1:7" ht="17.25" customHeight="1" x14ac:dyDescent="0.25">
      <c r="A19" s="176" t="s">
        <v>221</v>
      </c>
      <c r="B19" s="265" t="s">
        <v>742</v>
      </c>
      <c r="C19" s="266"/>
      <c r="D19" s="266"/>
      <c r="E19" s="266"/>
      <c r="F19" s="267"/>
    </row>
    <row r="20" spans="1:7" ht="17.25" customHeight="1" x14ac:dyDescent="0.25">
      <c r="A20" s="173"/>
      <c r="B20" s="175" t="s">
        <v>736</v>
      </c>
      <c r="C20" s="173" t="s">
        <v>203</v>
      </c>
      <c r="D20" s="174">
        <v>33.4</v>
      </c>
      <c r="E20" s="189"/>
      <c r="F20" s="200">
        <f t="shared" si="0"/>
        <v>0</v>
      </c>
    </row>
    <row r="21" spans="1:7" ht="17.25" customHeight="1" x14ac:dyDescent="0.25">
      <c r="A21" s="173"/>
      <c r="B21" s="175" t="s">
        <v>737</v>
      </c>
      <c r="C21" s="173" t="s">
        <v>203</v>
      </c>
      <c r="D21" s="174">
        <v>15</v>
      </c>
      <c r="E21" s="189"/>
      <c r="F21" s="200">
        <f t="shared" si="0"/>
        <v>0</v>
      </c>
    </row>
    <row r="22" spans="1:7" ht="17.25" customHeight="1" x14ac:dyDescent="0.25">
      <c r="A22" s="173"/>
      <c r="B22" s="192" t="s">
        <v>738</v>
      </c>
      <c r="C22" s="191" t="s">
        <v>39</v>
      </c>
      <c r="D22" s="194">
        <v>4</v>
      </c>
      <c r="E22" s="195"/>
      <c r="F22" s="201">
        <f t="shared" si="0"/>
        <v>0</v>
      </c>
    </row>
    <row r="23" spans="1:7" ht="17.25" customHeight="1" x14ac:dyDescent="0.25">
      <c r="A23" s="173"/>
      <c r="B23" s="175" t="s">
        <v>739</v>
      </c>
      <c r="C23" s="167" t="s">
        <v>728</v>
      </c>
      <c r="D23" s="174">
        <v>18</v>
      </c>
      <c r="E23" s="189"/>
      <c r="F23" s="200">
        <f t="shared" si="0"/>
        <v>0</v>
      </c>
    </row>
    <row r="24" spans="1:7" ht="17.25" customHeight="1" x14ac:dyDescent="0.25">
      <c r="A24" s="173"/>
      <c r="B24" s="175" t="s">
        <v>740</v>
      </c>
      <c r="C24" s="173" t="s">
        <v>39</v>
      </c>
      <c r="D24" s="174">
        <v>35</v>
      </c>
      <c r="E24" s="189"/>
      <c r="F24" s="200">
        <f t="shared" si="0"/>
        <v>0</v>
      </c>
    </row>
    <row r="25" spans="1:7" ht="17.25" customHeight="1" x14ac:dyDescent="0.25">
      <c r="A25" s="173"/>
      <c r="B25" s="175" t="s">
        <v>741</v>
      </c>
      <c r="C25" s="173" t="s">
        <v>39</v>
      </c>
      <c r="D25" s="174">
        <v>15</v>
      </c>
      <c r="E25" s="189"/>
      <c r="F25" s="200">
        <f t="shared" si="0"/>
        <v>0</v>
      </c>
    </row>
    <row r="26" spans="1:7" ht="17.25" customHeight="1" x14ac:dyDescent="0.25">
      <c r="A26" s="173"/>
      <c r="B26" s="175" t="s">
        <v>743</v>
      </c>
      <c r="C26" s="173" t="s">
        <v>262</v>
      </c>
      <c r="D26" s="174">
        <v>2</v>
      </c>
      <c r="E26" s="189"/>
      <c r="F26" s="200">
        <f t="shared" si="0"/>
        <v>0</v>
      </c>
    </row>
    <row r="27" spans="1:7" ht="18" customHeight="1" x14ac:dyDescent="0.25">
      <c r="A27" s="173"/>
      <c r="B27" s="178" t="s">
        <v>744</v>
      </c>
      <c r="C27" s="173" t="s">
        <v>262</v>
      </c>
      <c r="D27" s="174">
        <v>1</v>
      </c>
      <c r="E27" s="189"/>
      <c r="F27" s="200">
        <f t="shared" si="0"/>
        <v>0</v>
      </c>
    </row>
    <row r="28" spans="1:7" ht="30.75" customHeight="1" x14ac:dyDescent="0.25">
      <c r="A28" s="173"/>
      <c r="B28" s="178" t="s">
        <v>745</v>
      </c>
      <c r="C28" s="173" t="s">
        <v>39</v>
      </c>
      <c r="D28" s="174">
        <v>12</v>
      </c>
      <c r="E28" s="189"/>
      <c r="F28" s="200">
        <f t="shared" si="0"/>
        <v>0</v>
      </c>
    </row>
    <row r="29" spans="1:7" ht="66" customHeight="1" x14ac:dyDescent="0.25">
      <c r="A29" s="173"/>
      <c r="B29" s="178" t="s">
        <v>746</v>
      </c>
      <c r="C29" s="167" t="s">
        <v>728</v>
      </c>
      <c r="D29" s="174">
        <v>4</v>
      </c>
      <c r="E29" s="189"/>
      <c r="F29" s="200">
        <f t="shared" si="0"/>
        <v>0</v>
      </c>
    </row>
    <row r="30" spans="1:7" ht="23.25" customHeight="1" x14ac:dyDescent="0.25">
      <c r="A30" s="173"/>
      <c r="B30" s="178" t="s">
        <v>747</v>
      </c>
      <c r="C30" s="167" t="s">
        <v>9</v>
      </c>
      <c r="D30" s="174">
        <v>152</v>
      </c>
      <c r="E30" s="189"/>
      <c r="F30" s="200">
        <f t="shared" si="0"/>
        <v>0</v>
      </c>
    </row>
    <row r="31" spans="1:7" ht="27.75" customHeight="1" x14ac:dyDescent="0.25">
      <c r="A31" s="173"/>
      <c r="B31" s="178" t="s">
        <v>247</v>
      </c>
      <c r="C31" s="173" t="s">
        <v>9</v>
      </c>
      <c r="D31" s="174">
        <v>152</v>
      </c>
      <c r="E31" s="189"/>
      <c r="F31" s="200">
        <f t="shared" si="0"/>
        <v>0</v>
      </c>
    </row>
    <row r="32" spans="1:7" ht="27" customHeight="1" x14ac:dyDescent="0.25">
      <c r="A32" s="173"/>
      <c r="B32" s="193" t="s">
        <v>748</v>
      </c>
      <c r="C32" s="173" t="s">
        <v>9</v>
      </c>
      <c r="D32" s="174">
        <v>52</v>
      </c>
      <c r="E32" s="189"/>
      <c r="F32" s="200">
        <f t="shared" si="0"/>
        <v>0</v>
      </c>
    </row>
    <row r="33" spans="1:7" ht="27" customHeight="1" x14ac:dyDescent="0.25">
      <c r="A33" s="173"/>
      <c r="B33" s="193" t="s">
        <v>749</v>
      </c>
      <c r="C33" s="173" t="s">
        <v>9</v>
      </c>
      <c r="D33" s="174">
        <v>100</v>
      </c>
      <c r="E33" s="189"/>
      <c r="F33" s="200">
        <f t="shared" ref="F33" si="1">E33*D33</f>
        <v>0</v>
      </c>
    </row>
    <row r="34" spans="1:7" ht="17.25" customHeight="1" x14ac:dyDescent="0.25">
      <c r="A34" s="173"/>
      <c r="B34" s="193" t="s">
        <v>416</v>
      </c>
      <c r="C34" s="173" t="s">
        <v>9</v>
      </c>
      <c r="D34" s="174">
        <v>101</v>
      </c>
      <c r="E34" s="189"/>
      <c r="F34" s="200">
        <f t="shared" si="0"/>
        <v>0</v>
      </c>
    </row>
    <row r="35" spans="1:7" ht="17.25" customHeight="1" x14ac:dyDescent="0.25">
      <c r="A35" s="173"/>
      <c r="B35" s="193" t="s">
        <v>750</v>
      </c>
      <c r="C35" s="173" t="s">
        <v>9</v>
      </c>
      <c r="D35" s="174">
        <v>20</v>
      </c>
      <c r="E35" s="189"/>
      <c r="F35" s="200">
        <f t="shared" si="0"/>
        <v>0</v>
      </c>
    </row>
    <row r="36" spans="1:7" ht="17.25" customHeight="1" x14ac:dyDescent="0.25">
      <c r="A36" s="173"/>
      <c r="B36" s="193" t="s">
        <v>751</v>
      </c>
      <c r="C36" s="173" t="s">
        <v>38</v>
      </c>
      <c r="D36" s="174">
        <v>2</v>
      </c>
      <c r="E36" s="189"/>
      <c r="F36" s="200">
        <f t="shared" si="0"/>
        <v>0</v>
      </c>
    </row>
    <row r="37" spans="1:7" ht="17.25" customHeight="1" x14ac:dyDescent="0.25">
      <c r="A37" s="173"/>
      <c r="B37" s="193" t="s">
        <v>752</v>
      </c>
      <c r="C37" s="173" t="s">
        <v>38</v>
      </c>
      <c r="D37" s="174">
        <v>1</v>
      </c>
      <c r="E37" s="189"/>
      <c r="F37" s="200">
        <f t="shared" si="0"/>
        <v>0</v>
      </c>
    </row>
    <row r="38" spans="1:7" ht="17.25" customHeight="1" x14ac:dyDescent="0.25">
      <c r="A38" s="176" t="s">
        <v>252</v>
      </c>
      <c r="B38" s="177" t="s">
        <v>253</v>
      </c>
      <c r="C38" s="173" t="s">
        <v>39</v>
      </c>
      <c r="D38" s="174"/>
      <c r="E38" s="189"/>
      <c r="F38" s="200"/>
    </row>
    <row r="39" spans="1:7" ht="17.25" customHeight="1" x14ac:dyDescent="0.25">
      <c r="A39" s="173"/>
      <c r="B39" s="175" t="s">
        <v>754</v>
      </c>
      <c r="C39" s="173" t="s">
        <v>9</v>
      </c>
      <c r="D39" s="174">
        <v>422</v>
      </c>
      <c r="E39" s="189"/>
      <c r="F39" s="200">
        <f t="shared" si="0"/>
        <v>0</v>
      </c>
    </row>
    <row r="40" spans="1:7" ht="17.25" customHeight="1" x14ac:dyDescent="0.25">
      <c r="A40" s="173"/>
      <c r="B40" s="175" t="s">
        <v>259</v>
      </c>
      <c r="C40" s="167" t="s">
        <v>728</v>
      </c>
      <c r="D40" s="174">
        <v>20</v>
      </c>
      <c r="E40" s="189"/>
      <c r="F40" s="200">
        <f t="shared" si="0"/>
        <v>0</v>
      </c>
    </row>
    <row r="41" spans="1:7" ht="17.25" customHeight="1" thickBot="1" x14ac:dyDescent="0.3">
      <c r="A41" s="179"/>
      <c r="B41" s="180" t="s">
        <v>261</v>
      </c>
      <c r="C41" s="179" t="s">
        <v>262</v>
      </c>
      <c r="D41" s="181">
        <v>1</v>
      </c>
      <c r="E41" s="190"/>
      <c r="F41" s="224">
        <f t="shared" si="0"/>
        <v>0</v>
      </c>
    </row>
    <row r="42" spans="1:7" ht="17.25" customHeight="1" thickBot="1" x14ac:dyDescent="0.3">
      <c r="A42" s="225"/>
      <c r="B42" s="226" t="s">
        <v>755</v>
      </c>
      <c r="C42" s="227"/>
      <c r="D42" s="228"/>
      <c r="E42" s="229"/>
      <c r="F42" s="230"/>
    </row>
    <row r="43" spans="1:7" ht="12.75" x14ac:dyDescent="0.2">
      <c r="A43" s="219"/>
      <c r="B43" s="219"/>
      <c r="C43" s="219"/>
      <c r="D43" s="220"/>
      <c r="E43" s="219"/>
      <c r="F43" s="219"/>
      <c r="G43" s="213"/>
    </row>
    <row r="44" spans="1:7" ht="12.75" x14ac:dyDescent="0.2">
      <c r="A44" s="219"/>
      <c r="B44" s="219"/>
      <c r="C44" s="219"/>
      <c r="D44" s="220"/>
      <c r="E44" s="219"/>
      <c r="F44" s="219"/>
      <c r="G44" s="213"/>
    </row>
    <row r="45" spans="1:7" ht="12.75" x14ac:dyDescent="0.2">
      <c r="A45" s="219"/>
      <c r="B45" s="219"/>
      <c r="C45" s="219"/>
      <c r="D45" s="220"/>
      <c r="E45" s="219"/>
      <c r="F45" s="219"/>
      <c r="G45" s="213"/>
    </row>
    <row r="46" spans="1:7" ht="12.75" x14ac:dyDescent="0.2">
      <c r="A46" s="219"/>
      <c r="B46" s="219"/>
      <c r="C46" s="219"/>
      <c r="D46" s="220"/>
      <c r="E46" s="219"/>
      <c r="F46" s="219"/>
      <c r="G46" s="213"/>
    </row>
    <row r="47" spans="1:7" ht="12.75" x14ac:dyDescent="0.2">
      <c r="A47" s="219"/>
      <c r="B47" s="219"/>
      <c r="C47" s="219"/>
      <c r="D47" s="220"/>
      <c r="E47" s="219"/>
      <c r="F47" s="219"/>
      <c r="G47" s="213"/>
    </row>
    <row r="48" spans="1:7" ht="12.75" x14ac:dyDescent="0.2">
      <c r="A48" s="219"/>
      <c r="B48" s="219"/>
      <c r="C48" s="219"/>
      <c r="D48" s="220"/>
      <c r="E48" s="219"/>
      <c r="F48" s="219"/>
      <c r="G48" s="213"/>
    </row>
  </sheetData>
  <mergeCells count="4">
    <mergeCell ref="B19:F19"/>
    <mergeCell ref="A1:F1"/>
    <mergeCell ref="A2:F2"/>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75"/>
  <sheetViews>
    <sheetView topLeftCell="A363" workbookViewId="0">
      <selection activeCell="G343" sqref="G343"/>
    </sheetView>
  </sheetViews>
  <sheetFormatPr baseColWidth="10" defaultRowHeight="15" x14ac:dyDescent="0.25"/>
  <cols>
    <col min="1" max="1" width="3.140625" customWidth="1"/>
    <col min="2" max="2" width="47.28515625" customWidth="1"/>
    <col min="3" max="3" width="4.140625" customWidth="1"/>
    <col min="4" max="4" width="8.5703125" style="223" customWidth="1"/>
    <col min="5" max="5" width="10.7109375" customWidth="1"/>
    <col min="6" max="7" width="14" customWidth="1"/>
    <col min="251" max="251" width="3.140625" customWidth="1"/>
    <col min="252" max="252" width="47.28515625" customWidth="1"/>
    <col min="253" max="253" width="4.140625" customWidth="1"/>
    <col min="254" max="254" width="8.5703125" customWidth="1"/>
    <col min="255" max="255" width="10.7109375" customWidth="1"/>
    <col min="256" max="257" width="14" customWidth="1"/>
    <col min="507" max="507" width="3.140625" customWidth="1"/>
    <col min="508" max="508" width="47.28515625" customWidth="1"/>
    <col min="509" max="509" width="4.140625" customWidth="1"/>
    <col min="510" max="510" width="8.5703125" customWidth="1"/>
    <col min="511" max="511" width="10.7109375" customWidth="1"/>
    <col min="512" max="513" width="14" customWidth="1"/>
    <col min="763" max="763" width="3.140625" customWidth="1"/>
    <col min="764" max="764" width="47.28515625" customWidth="1"/>
    <col min="765" max="765" width="4.140625" customWidth="1"/>
    <col min="766" max="766" width="8.5703125" customWidth="1"/>
    <col min="767" max="767" width="10.7109375" customWidth="1"/>
    <col min="768" max="769" width="14" customWidth="1"/>
    <col min="1019" max="1019" width="3.140625" customWidth="1"/>
    <col min="1020" max="1020" width="47.28515625" customWidth="1"/>
    <col min="1021" max="1021" width="4.140625" customWidth="1"/>
    <col min="1022" max="1022" width="8.5703125" customWidth="1"/>
    <col min="1023" max="1023" width="10.7109375" customWidth="1"/>
    <col min="1024" max="1025" width="14" customWidth="1"/>
    <col min="1275" max="1275" width="3.140625" customWidth="1"/>
    <col min="1276" max="1276" width="47.28515625" customWidth="1"/>
    <col min="1277" max="1277" width="4.140625" customWidth="1"/>
    <col min="1278" max="1278" width="8.5703125" customWidth="1"/>
    <col min="1279" max="1279" width="10.7109375" customWidth="1"/>
    <col min="1280" max="1281" width="14" customWidth="1"/>
    <col min="1531" max="1531" width="3.140625" customWidth="1"/>
    <col min="1532" max="1532" width="47.28515625" customWidth="1"/>
    <col min="1533" max="1533" width="4.140625" customWidth="1"/>
    <col min="1534" max="1534" width="8.5703125" customWidth="1"/>
    <col min="1535" max="1535" width="10.7109375" customWidth="1"/>
    <col min="1536" max="1537" width="14" customWidth="1"/>
    <col min="1787" max="1787" width="3.140625" customWidth="1"/>
    <col min="1788" max="1788" width="47.28515625" customWidth="1"/>
    <col min="1789" max="1789" width="4.140625" customWidth="1"/>
    <col min="1790" max="1790" width="8.5703125" customWidth="1"/>
    <col min="1791" max="1791" width="10.7109375" customWidth="1"/>
    <col min="1792" max="1793" width="14" customWidth="1"/>
    <col min="2043" max="2043" width="3.140625" customWidth="1"/>
    <col min="2044" max="2044" width="47.28515625" customWidth="1"/>
    <col min="2045" max="2045" width="4.140625" customWidth="1"/>
    <col min="2046" max="2046" width="8.5703125" customWidth="1"/>
    <col min="2047" max="2047" width="10.7109375" customWidth="1"/>
    <col min="2048" max="2049" width="14" customWidth="1"/>
    <col min="2299" max="2299" width="3.140625" customWidth="1"/>
    <col min="2300" max="2300" width="47.28515625" customWidth="1"/>
    <col min="2301" max="2301" width="4.140625" customWidth="1"/>
    <col min="2302" max="2302" width="8.5703125" customWidth="1"/>
    <col min="2303" max="2303" width="10.7109375" customWidth="1"/>
    <col min="2304" max="2305" width="14" customWidth="1"/>
    <col min="2555" max="2555" width="3.140625" customWidth="1"/>
    <col min="2556" max="2556" width="47.28515625" customWidth="1"/>
    <col min="2557" max="2557" width="4.140625" customWidth="1"/>
    <col min="2558" max="2558" width="8.5703125" customWidth="1"/>
    <col min="2559" max="2559" width="10.7109375" customWidth="1"/>
    <col min="2560" max="2561" width="14" customWidth="1"/>
    <col min="2811" max="2811" width="3.140625" customWidth="1"/>
    <col min="2812" max="2812" width="47.28515625" customWidth="1"/>
    <col min="2813" max="2813" width="4.140625" customWidth="1"/>
    <col min="2814" max="2814" width="8.5703125" customWidth="1"/>
    <col min="2815" max="2815" width="10.7109375" customWidth="1"/>
    <col min="2816" max="2817" width="14" customWidth="1"/>
    <col min="3067" max="3067" width="3.140625" customWidth="1"/>
    <col min="3068" max="3068" width="47.28515625" customWidth="1"/>
    <col min="3069" max="3069" width="4.140625" customWidth="1"/>
    <col min="3070" max="3070" width="8.5703125" customWidth="1"/>
    <col min="3071" max="3071" width="10.7109375" customWidth="1"/>
    <col min="3072" max="3073" width="14" customWidth="1"/>
    <col min="3323" max="3323" width="3.140625" customWidth="1"/>
    <col min="3324" max="3324" width="47.28515625" customWidth="1"/>
    <col min="3325" max="3325" width="4.140625" customWidth="1"/>
    <col min="3326" max="3326" width="8.5703125" customWidth="1"/>
    <col min="3327" max="3327" width="10.7109375" customWidth="1"/>
    <col min="3328" max="3329" width="14" customWidth="1"/>
    <col min="3579" max="3579" width="3.140625" customWidth="1"/>
    <col min="3580" max="3580" width="47.28515625" customWidth="1"/>
    <col min="3581" max="3581" width="4.140625" customWidth="1"/>
    <col min="3582" max="3582" width="8.5703125" customWidth="1"/>
    <col min="3583" max="3583" width="10.7109375" customWidth="1"/>
    <col min="3584" max="3585" width="14" customWidth="1"/>
    <col min="3835" max="3835" width="3.140625" customWidth="1"/>
    <col min="3836" max="3836" width="47.28515625" customWidth="1"/>
    <col min="3837" max="3837" width="4.140625" customWidth="1"/>
    <col min="3838" max="3838" width="8.5703125" customWidth="1"/>
    <col min="3839" max="3839" width="10.7109375" customWidth="1"/>
    <col min="3840" max="3841" width="14" customWidth="1"/>
    <col min="4091" max="4091" width="3.140625" customWidth="1"/>
    <col min="4092" max="4092" width="47.28515625" customWidth="1"/>
    <col min="4093" max="4093" width="4.140625" customWidth="1"/>
    <col min="4094" max="4094" width="8.5703125" customWidth="1"/>
    <col min="4095" max="4095" width="10.7109375" customWidth="1"/>
    <col min="4096" max="4097" width="14" customWidth="1"/>
    <col min="4347" max="4347" width="3.140625" customWidth="1"/>
    <col min="4348" max="4348" width="47.28515625" customWidth="1"/>
    <col min="4349" max="4349" width="4.140625" customWidth="1"/>
    <col min="4350" max="4350" width="8.5703125" customWidth="1"/>
    <col min="4351" max="4351" width="10.7109375" customWidth="1"/>
    <col min="4352" max="4353" width="14" customWidth="1"/>
    <col min="4603" max="4603" width="3.140625" customWidth="1"/>
    <col min="4604" max="4604" width="47.28515625" customWidth="1"/>
    <col min="4605" max="4605" width="4.140625" customWidth="1"/>
    <col min="4606" max="4606" width="8.5703125" customWidth="1"/>
    <col min="4607" max="4607" width="10.7109375" customWidth="1"/>
    <col min="4608" max="4609" width="14" customWidth="1"/>
    <col min="4859" max="4859" width="3.140625" customWidth="1"/>
    <col min="4860" max="4860" width="47.28515625" customWidth="1"/>
    <col min="4861" max="4861" width="4.140625" customWidth="1"/>
    <col min="4862" max="4862" width="8.5703125" customWidth="1"/>
    <col min="4863" max="4863" width="10.7109375" customWidth="1"/>
    <col min="4864" max="4865" width="14" customWidth="1"/>
    <col min="5115" max="5115" width="3.140625" customWidth="1"/>
    <col min="5116" max="5116" width="47.28515625" customWidth="1"/>
    <col min="5117" max="5117" width="4.140625" customWidth="1"/>
    <col min="5118" max="5118" width="8.5703125" customWidth="1"/>
    <col min="5119" max="5119" width="10.7109375" customWidth="1"/>
    <col min="5120" max="5121" width="14" customWidth="1"/>
    <col min="5371" max="5371" width="3.140625" customWidth="1"/>
    <col min="5372" max="5372" width="47.28515625" customWidth="1"/>
    <col min="5373" max="5373" width="4.140625" customWidth="1"/>
    <col min="5374" max="5374" width="8.5703125" customWidth="1"/>
    <col min="5375" max="5375" width="10.7109375" customWidth="1"/>
    <col min="5376" max="5377" width="14" customWidth="1"/>
    <col min="5627" max="5627" width="3.140625" customWidth="1"/>
    <col min="5628" max="5628" width="47.28515625" customWidth="1"/>
    <col min="5629" max="5629" width="4.140625" customWidth="1"/>
    <col min="5630" max="5630" width="8.5703125" customWidth="1"/>
    <col min="5631" max="5631" width="10.7109375" customWidth="1"/>
    <col min="5632" max="5633" width="14" customWidth="1"/>
    <col min="5883" max="5883" width="3.140625" customWidth="1"/>
    <col min="5884" max="5884" width="47.28515625" customWidth="1"/>
    <col min="5885" max="5885" width="4.140625" customWidth="1"/>
    <col min="5886" max="5886" width="8.5703125" customWidth="1"/>
    <col min="5887" max="5887" width="10.7109375" customWidth="1"/>
    <col min="5888" max="5889" width="14" customWidth="1"/>
    <col min="6139" max="6139" width="3.140625" customWidth="1"/>
    <col min="6140" max="6140" width="47.28515625" customWidth="1"/>
    <col min="6141" max="6141" width="4.140625" customWidth="1"/>
    <col min="6142" max="6142" width="8.5703125" customWidth="1"/>
    <col min="6143" max="6143" width="10.7109375" customWidth="1"/>
    <col min="6144" max="6145" width="14" customWidth="1"/>
    <col min="6395" max="6395" width="3.140625" customWidth="1"/>
    <col min="6396" max="6396" width="47.28515625" customWidth="1"/>
    <col min="6397" max="6397" width="4.140625" customWidth="1"/>
    <col min="6398" max="6398" width="8.5703125" customWidth="1"/>
    <col min="6399" max="6399" width="10.7109375" customWidth="1"/>
    <col min="6400" max="6401" width="14" customWidth="1"/>
    <col min="6651" max="6651" width="3.140625" customWidth="1"/>
    <col min="6652" max="6652" width="47.28515625" customWidth="1"/>
    <col min="6653" max="6653" width="4.140625" customWidth="1"/>
    <col min="6654" max="6654" width="8.5703125" customWidth="1"/>
    <col min="6655" max="6655" width="10.7109375" customWidth="1"/>
    <col min="6656" max="6657" width="14" customWidth="1"/>
    <col min="6907" max="6907" width="3.140625" customWidth="1"/>
    <col min="6908" max="6908" width="47.28515625" customWidth="1"/>
    <col min="6909" max="6909" width="4.140625" customWidth="1"/>
    <col min="6910" max="6910" width="8.5703125" customWidth="1"/>
    <col min="6911" max="6911" width="10.7109375" customWidth="1"/>
    <col min="6912" max="6913" width="14" customWidth="1"/>
    <col min="7163" max="7163" width="3.140625" customWidth="1"/>
    <col min="7164" max="7164" width="47.28515625" customWidth="1"/>
    <col min="7165" max="7165" width="4.140625" customWidth="1"/>
    <col min="7166" max="7166" width="8.5703125" customWidth="1"/>
    <col min="7167" max="7167" width="10.7109375" customWidth="1"/>
    <col min="7168" max="7169" width="14" customWidth="1"/>
    <col min="7419" max="7419" width="3.140625" customWidth="1"/>
    <col min="7420" max="7420" width="47.28515625" customWidth="1"/>
    <col min="7421" max="7421" width="4.140625" customWidth="1"/>
    <col min="7422" max="7422" width="8.5703125" customWidth="1"/>
    <col min="7423" max="7423" width="10.7109375" customWidth="1"/>
    <col min="7424" max="7425" width="14" customWidth="1"/>
    <col min="7675" max="7675" width="3.140625" customWidth="1"/>
    <col min="7676" max="7676" width="47.28515625" customWidth="1"/>
    <col min="7677" max="7677" width="4.140625" customWidth="1"/>
    <col min="7678" max="7678" width="8.5703125" customWidth="1"/>
    <col min="7679" max="7679" width="10.7109375" customWidth="1"/>
    <col min="7680" max="7681" width="14" customWidth="1"/>
    <col min="7931" max="7931" width="3.140625" customWidth="1"/>
    <col min="7932" max="7932" width="47.28515625" customWidth="1"/>
    <col min="7933" max="7933" width="4.140625" customWidth="1"/>
    <col min="7934" max="7934" width="8.5703125" customWidth="1"/>
    <col min="7935" max="7935" width="10.7109375" customWidth="1"/>
    <col min="7936" max="7937" width="14" customWidth="1"/>
    <col min="8187" max="8187" width="3.140625" customWidth="1"/>
    <col min="8188" max="8188" width="47.28515625" customWidth="1"/>
    <col min="8189" max="8189" width="4.140625" customWidth="1"/>
    <col min="8190" max="8190" width="8.5703125" customWidth="1"/>
    <col min="8191" max="8191" width="10.7109375" customWidth="1"/>
    <col min="8192" max="8193" width="14" customWidth="1"/>
    <col min="8443" max="8443" width="3.140625" customWidth="1"/>
    <col min="8444" max="8444" width="47.28515625" customWidth="1"/>
    <col min="8445" max="8445" width="4.140625" customWidth="1"/>
    <col min="8446" max="8446" width="8.5703125" customWidth="1"/>
    <col min="8447" max="8447" width="10.7109375" customWidth="1"/>
    <col min="8448" max="8449" width="14" customWidth="1"/>
    <col min="8699" max="8699" width="3.140625" customWidth="1"/>
    <col min="8700" max="8700" width="47.28515625" customWidth="1"/>
    <col min="8701" max="8701" width="4.140625" customWidth="1"/>
    <col min="8702" max="8702" width="8.5703125" customWidth="1"/>
    <col min="8703" max="8703" width="10.7109375" customWidth="1"/>
    <col min="8704" max="8705" width="14" customWidth="1"/>
    <col min="8955" max="8955" width="3.140625" customWidth="1"/>
    <col min="8956" max="8956" width="47.28515625" customWidth="1"/>
    <col min="8957" max="8957" width="4.140625" customWidth="1"/>
    <col min="8958" max="8958" width="8.5703125" customWidth="1"/>
    <col min="8959" max="8959" width="10.7109375" customWidth="1"/>
    <col min="8960" max="8961" width="14" customWidth="1"/>
    <col min="9211" max="9211" width="3.140625" customWidth="1"/>
    <col min="9212" max="9212" width="47.28515625" customWidth="1"/>
    <col min="9213" max="9213" width="4.140625" customWidth="1"/>
    <col min="9214" max="9214" width="8.5703125" customWidth="1"/>
    <col min="9215" max="9215" width="10.7109375" customWidth="1"/>
    <col min="9216" max="9217" width="14" customWidth="1"/>
    <col min="9467" max="9467" width="3.140625" customWidth="1"/>
    <col min="9468" max="9468" width="47.28515625" customWidth="1"/>
    <col min="9469" max="9469" width="4.140625" customWidth="1"/>
    <col min="9470" max="9470" width="8.5703125" customWidth="1"/>
    <col min="9471" max="9471" width="10.7109375" customWidth="1"/>
    <col min="9472" max="9473" width="14" customWidth="1"/>
    <col min="9723" max="9723" width="3.140625" customWidth="1"/>
    <col min="9724" max="9724" width="47.28515625" customWidth="1"/>
    <col min="9725" max="9725" width="4.140625" customWidth="1"/>
    <col min="9726" max="9726" width="8.5703125" customWidth="1"/>
    <col min="9727" max="9727" width="10.7109375" customWidth="1"/>
    <col min="9728" max="9729" width="14" customWidth="1"/>
    <col min="9979" max="9979" width="3.140625" customWidth="1"/>
    <col min="9980" max="9980" width="47.28515625" customWidth="1"/>
    <col min="9981" max="9981" width="4.140625" customWidth="1"/>
    <col min="9982" max="9982" width="8.5703125" customWidth="1"/>
    <col min="9983" max="9983" width="10.7109375" customWidth="1"/>
    <col min="9984" max="9985" width="14" customWidth="1"/>
    <col min="10235" max="10235" width="3.140625" customWidth="1"/>
    <col min="10236" max="10236" width="47.28515625" customWidth="1"/>
    <col min="10237" max="10237" width="4.140625" customWidth="1"/>
    <col min="10238" max="10238" width="8.5703125" customWidth="1"/>
    <col min="10239" max="10239" width="10.7109375" customWidth="1"/>
    <col min="10240" max="10241" width="14" customWidth="1"/>
    <col min="10491" max="10491" width="3.140625" customWidth="1"/>
    <col min="10492" max="10492" width="47.28515625" customWidth="1"/>
    <col min="10493" max="10493" width="4.140625" customWidth="1"/>
    <col min="10494" max="10494" width="8.5703125" customWidth="1"/>
    <col min="10495" max="10495" width="10.7109375" customWidth="1"/>
    <col min="10496" max="10497" width="14" customWidth="1"/>
    <col min="10747" max="10747" width="3.140625" customWidth="1"/>
    <col min="10748" max="10748" width="47.28515625" customWidth="1"/>
    <col min="10749" max="10749" width="4.140625" customWidth="1"/>
    <col min="10750" max="10750" width="8.5703125" customWidth="1"/>
    <col min="10751" max="10751" width="10.7109375" customWidth="1"/>
    <col min="10752" max="10753" width="14" customWidth="1"/>
    <col min="11003" max="11003" width="3.140625" customWidth="1"/>
    <col min="11004" max="11004" width="47.28515625" customWidth="1"/>
    <col min="11005" max="11005" width="4.140625" customWidth="1"/>
    <col min="11006" max="11006" width="8.5703125" customWidth="1"/>
    <col min="11007" max="11007" width="10.7109375" customWidth="1"/>
    <col min="11008" max="11009" width="14" customWidth="1"/>
    <col min="11259" max="11259" width="3.140625" customWidth="1"/>
    <col min="11260" max="11260" width="47.28515625" customWidth="1"/>
    <col min="11261" max="11261" width="4.140625" customWidth="1"/>
    <col min="11262" max="11262" width="8.5703125" customWidth="1"/>
    <col min="11263" max="11263" width="10.7109375" customWidth="1"/>
    <col min="11264" max="11265" width="14" customWidth="1"/>
    <col min="11515" max="11515" width="3.140625" customWidth="1"/>
    <col min="11516" max="11516" width="47.28515625" customWidth="1"/>
    <col min="11517" max="11517" width="4.140625" customWidth="1"/>
    <col min="11518" max="11518" width="8.5703125" customWidth="1"/>
    <col min="11519" max="11519" width="10.7109375" customWidth="1"/>
    <col min="11520" max="11521" width="14" customWidth="1"/>
    <col min="11771" max="11771" width="3.140625" customWidth="1"/>
    <col min="11772" max="11772" width="47.28515625" customWidth="1"/>
    <col min="11773" max="11773" width="4.140625" customWidth="1"/>
    <col min="11774" max="11774" width="8.5703125" customWidth="1"/>
    <col min="11775" max="11775" width="10.7109375" customWidth="1"/>
    <col min="11776" max="11777" width="14" customWidth="1"/>
    <col min="12027" max="12027" width="3.140625" customWidth="1"/>
    <col min="12028" max="12028" width="47.28515625" customWidth="1"/>
    <col min="12029" max="12029" width="4.140625" customWidth="1"/>
    <col min="12030" max="12030" width="8.5703125" customWidth="1"/>
    <col min="12031" max="12031" width="10.7109375" customWidth="1"/>
    <col min="12032" max="12033" width="14" customWidth="1"/>
    <col min="12283" max="12283" width="3.140625" customWidth="1"/>
    <col min="12284" max="12284" width="47.28515625" customWidth="1"/>
    <col min="12285" max="12285" width="4.140625" customWidth="1"/>
    <col min="12286" max="12286" width="8.5703125" customWidth="1"/>
    <col min="12287" max="12287" width="10.7109375" customWidth="1"/>
    <col min="12288" max="12289" width="14" customWidth="1"/>
    <col min="12539" max="12539" width="3.140625" customWidth="1"/>
    <col min="12540" max="12540" width="47.28515625" customWidth="1"/>
    <col min="12541" max="12541" width="4.140625" customWidth="1"/>
    <col min="12542" max="12542" width="8.5703125" customWidth="1"/>
    <col min="12543" max="12543" width="10.7109375" customWidth="1"/>
    <col min="12544" max="12545" width="14" customWidth="1"/>
    <col min="12795" max="12795" width="3.140625" customWidth="1"/>
    <col min="12796" max="12796" width="47.28515625" customWidth="1"/>
    <col min="12797" max="12797" width="4.140625" customWidth="1"/>
    <col min="12798" max="12798" width="8.5703125" customWidth="1"/>
    <col min="12799" max="12799" width="10.7109375" customWidth="1"/>
    <col min="12800" max="12801" width="14" customWidth="1"/>
    <col min="13051" max="13051" width="3.140625" customWidth="1"/>
    <col min="13052" max="13052" width="47.28515625" customWidth="1"/>
    <col min="13053" max="13053" width="4.140625" customWidth="1"/>
    <col min="13054" max="13054" width="8.5703125" customWidth="1"/>
    <col min="13055" max="13055" width="10.7109375" customWidth="1"/>
    <col min="13056" max="13057" width="14" customWidth="1"/>
    <col min="13307" max="13307" width="3.140625" customWidth="1"/>
    <col min="13308" max="13308" width="47.28515625" customWidth="1"/>
    <col min="13309" max="13309" width="4.140625" customWidth="1"/>
    <col min="13310" max="13310" width="8.5703125" customWidth="1"/>
    <col min="13311" max="13311" width="10.7109375" customWidth="1"/>
    <col min="13312" max="13313" width="14" customWidth="1"/>
    <col min="13563" max="13563" width="3.140625" customWidth="1"/>
    <col min="13564" max="13564" width="47.28515625" customWidth="1"/>
    <col min="13565" max="13565" width="4.140625" customWidth="1"/>
    <col min="13566" max="13566" width="8.5703125" customWidth="1"/>
    <col min="13567" max="13567" width="10.7109375" customWidth="1"/>
    <col min="13568" max="13569" width="14" customWidth="1"/>
    <col min="13819" max="13819" width="3.140625" customWidth="1"/>
    <col min="13820" max="13820" width="47.28515625" customWidth="1"/>
    <col min="13821" max="13821" width="4.140625" customWidth="1"/>
    <col min="13822" max="13822" width="8.5703125" customWidth="1"/>
    <col min="13823" max="13823" width="10.7109375" customWidth="1"/>
    <col min="13824" max="13825" width="14" customWidth="1"/>
    <col min="14075" max="14075" width="3.140625" customWidth="1"/>
    <col min="14076" max="14076" width="47.28515625" customWidth="1"/>
    <col min="14077" max="14077" width="4.140625" customWidth="1"/>
    <col min="14078" max="14078" width="8.5703125" customWidth="1"/>
    <col min="14079" max="14079" width="10.7109375" customWidth="1"/>
    <col min="14080" max="14081" width="14" customWidth="1"/>
    <col min="14331" max="14331" width="3.140625" customWidth="1"/>
    <col min="14332" max="14332" width="47.28515625" customWidth="1"/>
    <col min="14333" max="14333" width="4.140625" customWidth="1"/>
    <col min="14334" max="14334" width="8.5703125" customWidth="1"/>
    <col min="14335" max="14335" width="10.7109375" customWidth="1"/>
    <col min="14336" max="14337" width="14" customWidth="1"/>
    <col min="14587" max="14587" width="3.140625" customWidth="1"/>
    <col min="14588" max="14588" width="47.28515625" customWidth="1"/>
    <col min="14589" max="14589" width="4.140625" customWidth="1"/>
    <col min="14590" max="14590" width="8.5703125" customWidth="1"/>
    <col min="14591" max="14591" width="10.7109375" customWidth="1"/>
    <col min="14592" max="14593" width="14" customWidth="1"/>
    <col min="14843" max="14843" width="3.140625" customWidth="1"/>
    <col min="14844" max="14844" width="47.28515625" customWidth="1"/>
    <col min="14845" max="14845" width="4.140625" customWidth="1"/>
    <col min="14846" max="14846" width="8.5703125" customWidth="1"/>
    <col min="14847" max="14847" width="10.7109375" customWidth="1"/>
    <col min="14848" max="14849" width="14" customWidth="1"/>
    <col min="15099" max="15099" width="3.140625" customWidth="1"/>
    <col min="15100" max="15100" width="47.28515625" customWidth="1"/>
    <col min="15101" max="15101" width="4.140625" customWidth="1"/>
    <col min="15102" max="15102" width="8.5703125" customWidth="1"/>
    <col min="15103" max="15103" width="10.7109375" customWidth="1"/>
    <col min="15104" max="15105" width="14" customWidth="1"/>
    <col min="15355" max="15355" width="3.140625" customWidth="1"/>
    <col min="15356" max="15356" width="47.28515625" customWidth="1"/>
    <col min="15357" max="15357" width="4.140625" customWidth="1"/>
    <col min="15358" max="15358" width="8.5703125" customWidth="1"/>
    <col min="15359" max="15359" width="10.7109375" customWidth="1"/>
    <col min="15360" max="15361" width="14" customWidth="1"/>
    <col min="15611" max="15611" width="3.140625" customWidth="1"/>
    <col min="15612" max="15612" width="47.28515625" customWidth="1"/>
    <col min="15613" max="15613" width="4.140625" customWidth="1"/>
    <col min="15614" max="15614" width="8.5703125" customWidth="1"/>
    <col min="15615" max="15615" width="10.7109375" customWidth="1"/>
    <col min="15616" max="15617" width="14" customWidth="1"/>
    <col min="15867" max="15867" width="3.140625" customWidth="1"/>
    <col min="15868" max="15868" width="47.28515625" customWidth="1"/>
    <col min="15869" max="15869" width="4.140625" customWidth="1"/>
    <col min="15870" max="15870" width="8.5703125" customWidth="1"/>
    <col min="15871" max="15871" width="10.7109375" customWidth="1"/>
    <col min="15872" max="15873" width="14" customWidth="1"/>
    <col min="16123" max="16123" width="3.140625" customWidth="1"/>
    <col min="16124" max="16124" width="47.28515625" customWidth="1"/>
    <col min="16125" max="16125" width="4.140625" customWidth="1"/>
    <col min="16126" max="16126" width="8.5703125" customWidth="1"/>
    <col min="16127" max="16127" width="10.7109375" customWidth="1"/>
    <col min="16128" max="16129" width="14" customWidth="1"/>
  </cols>
  <sheetData>
    <row r="1" spans="1:7" ht="12.75" customHeight="1" x14ac:dyDescent="0.2">
      <c r="A1" s="268" t="s">
        <v>440</v>
      </c>
      <c r="B1" s="269"/>
      <c r="C1" s="269"/>
      <c r="D1" s="269"/>
      <c r="E1" s="269"/>
      <c r="F1" s="269"/>
      <c r="G1" s="270"/>
    </row>
    <row r="2" spans="1:7" ht="12.75" x14ac:dyDescent="0.2">
      <c r="A2" s="268" t="s">
        <v>441</v>
      </c>
      <c r="B2" s="269"/>
      <c r="C2" s="269"/>
      <c r="D2" s="269"/>
      <c r="E2" s="269"/>
      <c r="F2" s="269"/>
      <c r="G2" s="270"/>
    </row>
    <row r="3" spans="1:7" ht="12.75" customHeight="1" x14ac:dyDescent="0.2">
      <c r="A3" s="208"/>
      <c r="B3" s="209" t="s">
        <v>442</v>
      </c>
      <c r="C3" s="209" t="s">
        <v>443</v>
      </c>
      <c r="D3" s="210"/>
      <c r="E3" s="209"/>
      <c r="F3" s="209"/>
      <c r="G3" s="211"/>
    </row>
    <row r="4" spans="1:7" ht="12.75" customHeight="1" x14ac:dyDescent="0.2">
      <c r="A4" s="212"/>
      <c r="B4" s="213" t="s">
        <v>444</v>
      </c>
      <c r="C4" s="213" t="s">
        <v>445</v>
      </c>
      <c r="D4" s="214"/>
      <c r="E4" s="213"/>
      <c r="F4" s="213"/>
      <c r="G4" s="215"/>
    </row>
    <row r="5" spans="1:7" ht="12.75" customHeight="1" x14ac:dyDescent="0.2">
      <c r="A5" s="216"/>
      <c r="B5" s="217" t="s">
        <v>446</v>
      </c>
      <c r="C5" s="271">
        <v>2021</v>
      </c>
      <c r="D5" s="271"/>
      <c r="E5" s="217"/>
      <c r="F5" s="217"/>
      <c r="G5" s="218"/>
    </row>
    <row r="6" spans="1:7" ht="12.75" x14ac:dyDescent="0.2">
      <c r="A6" s="272" t="s">
        <v>447</v>
      </c>
      <c r="B6" s="272"/>
      <c r="C6" s="272"/>
      <c r="D6" s="272"/>
      <c r="E6" s="272"/>
      <c r="F6" s="272"/>
      <c r="G6" s="272"/>
    </row>
    <row r="7" spans="1:7" ht="12.75" x14ac:dyDescent="0.2">
      <c r="A7" s="331" t="s">
        <v>448</v>
      </c>
      <c r="B7" s="331" t="s">
        <v>449</v>
      </c>
      <c r="C7" s="331" t="s">
        <v>28</v>
      </c>
      <c r="D7" s="332" t="s">
        <v>450</v>
      </c>
      <c r="E7" s="331" t="s">
        <v>451</v>
      </c>
      <c r="F7" s="331" t="s">
        <v>452</v>
      </c>
      <c r="G7" s="331" t="s">
        <v>453</v>
      </c>
    </row>
    <row r="8" spans="1:7" ht="12.75" x14ac:dyDescent="0.2">
      <c r="A8" s="308"/>
      <c r="B8" s="309" t="s">
        <v>454</v>
      </c>
      <c r="C8" s="309"/>
      <c r="D8" s="310"/>
      <c r="E8" s="309"/>
      <c r="F8" s="309"/>
      <c r="G8" s="325">
        <f>SUM(F9:F15)</f>
        <v>0</v>
      </c>
    </row>
    <row r="9" spans="1:7" ht="12.75" customHeight="1" x14ac:dyDescent="0.2">
      <c r="A9" s="285">
        <v>1</v>
      </c>
      <c r="B9" s="299" t="s">
        <v>455</v>
      </c>
      <c r="C9" s="285" t="s">
        <v>456</v>
      </c>
      <c r="D9" s="287">
        <v>1</v>
      </c>
      <c r="E9" s="288"/>
      <c r="F9" s="288">
        <f>+ROUND(D9*E9,0)</f>
        <v>0</v>
      </c>
      <c r="G9" s="285"/>
    </row>
    <row r="10" spans="1:7" ht="12.75" customHeight="1" x14ac:dyDescent="0.2">
      <c r="A10" s="285">
        <v>2</v>
      </c>
      <c r="B10" s="286" t="s">
        <v>457</v>
      </c>
      <c r="C10" s="285" t="s">
        <v>9</v>
      </c>
      <c r="D10" s="287">
        <f>142*1.8</f>
        <v>255.6</v>
      </c>
      <c r="E10" s="288"/>
      <c r="F10" s="288">
        <f t="shared" ref="F10:F15" si="0">+ROUND(D10*E10,0)</f>
        <v>0</v>
      </c>
      <c r="G10" s="285"/>
    </row>
    <row r="11" spans="1:7" ht="12.75" customHeight="1" x14ac:dyDescent="0.2">
      <c r="A11" s="291">
        <v>3</v>
      </c>
      <c r="B11" s="333" t="s">
        <v>458</v>
      </c>
      <c r="C11" s="285" t="s">
        <v>394</v>
      </c>
      <c r="D11" s="287">
        <v>1</v>
      </c>
      <c r="E11" s="288"/>
      <c r="F11" s="288">
        <f t="shared" si="0"/>
        <v>0</v>
      </c>
      <c r="G11" s="285"/>
    </row>
    <row r="12" spans="1:7" ht="12.75" customHeight="1" x14ac:dyDescent="0.2">
      <c r="A12" s="285">
        <v>4</v>
      </c>
      <c r="B12" s="285" t="s">
        <v>459</v>
      </c>
      <c r="C12" s="285" t="s">
        <v>9</v>
      </c>
      <c r="D12" s="287">
        <v>950</v>
      </c>
      <c r="E12" s="288"/>
      <c r="F12" s="288">
        <f t="shared" si="0"/>
        <v>0</v>
      </c>
      <c r="G12" s="285"/>
    </row>
    <row r="13" spans="1:7" ht="12.75" customHeight="1" x14ac:dyDescent="0.2">
      <c r="A13" s="285">
        <v>5</v>
      </c>
      <c r="B13" s="285" t="s">
        <v>460</v>
      </c>
      <c r="C13" s="285" t="s">
        <v>461</v>
      </c>
      <c r="D13" s="287">
        <v>18</v>
      </c>
      <c r="E13" s="288"/>
      <c r="F13" s="288">
        <f t="shared" si="0"/>
        <v>0</v>
      </c>
      <c r="G13" s="285"/>
    </row>
    <row r="14" spans="1:7" ht="12.75" customHeight="1" x14ac:dyDescent="0.2">
      <c r="A14" s="285">
        <v>6</v>
      </c>
      <c r="B14" s="286" t="s">
        <v>462</v>
      </c>
      <c r="C14" s="285" t="s">
        <v>463</v>
      </c>
      <c r="D14" s="287">
        <f>D48</f>
        <v>183.7</v>
      </c>
      <c r="E14" s="288"/>
      <c r="F14" s="288">
        <f t="shared" si="0"/>
        <v>0</v>
      </c>
      <c r="G14" s="285"/>
    </row>
    <row r="15" spans="1:7" ht="12.75" customHeight="1" x14ac:dyDescent="0.2">
      <c r="A15" s="285">
        <v>7</v>
      </c>
      <c r="B15" s="285" t="s">
        <v>464</v>
      </c>
      <c r="C15" s="285" t="s">
        <v>463</v>
      </c>
      <c r="D15" s="287">
        <f>950*0.4</f>
        <v>380</v>
      </c>
      <c r="E15" s="288"/>
      <c r="F15" s="288">
        <f t="shared" si="0"/>
        <v>0</v>
      </c>
      <c r="G15" s="285"/>
    </row>
    <row r="16" spans="1:7" ht="12.75" x14ac:dyDescent="0.2">
      <c r="A16" s="308"/>
      <c r="B16" s="309" t="s">
        <v>465</v>
      </c>
      <c r="C16" s="309"/>
      <c r="D16" s="310"/>
      <c r="E16" s="309"/>
      <c r="F16" s="309"/>
      <c r="G16" s="325">
        <f>SUM(F17:F46)</f>
        <v>0</v>
      </c>
    </row>
    <row r="17" spans="1:7" s="290" customFormat="1" ht="12.75" customHeight="1" x14ac:dyDescent="0.2">
      <c r="A17" s="285">
        <v>1</v>
      </c>
      <c r="B17" s="286" t="s">
        <v>466</v>
      </c>
      <c r="C17" s="285" t="s">
        <v>9</v>
      </c>
      <c r="D17" s="287">
        <f>669.8+250+236.6</f>
        <v>1156.3999999999999</v>
      </c>
      <c r="E17" s="288"/>
      <c r="F17" s="288">
        <f>+ROUND(D17*E17,0)</f>
        <v>0</v>
      </c>
      <c r="G17" s="289"/>
    </row>
    <row r="18" spans="1:7" ht="12.75" customHeight="1" x14ac:dyDescent="0.2">
      <c r="A18" s="219">
        <v>2</v>
      </c>
      <c r="B18" s="219" t="s">
        <v>467</v>
      </c>
      <c r="C18" s="219" t="s">
        <v>28</v>
      </c>
      <c r="D18" s="220">
        <v>64</v>
      </c>
      <c r="E18" s="221"/>
      <c r="F18" s="221">
        <f>+ROUND(D18*E18,0)</f>
        <v>0</v>
      </c>
      <c r="G18" s="213"/>
    </row>
    <row r="19" spans="1:7" ht="12.75" customHeight="1" x14ac:dyDescent="0.2">
      <c r="A19" s="219">
        <v>3</v>
      </c>
      <c r="B19" s="222" t="s">
        <v>468</v>
      </c>
      <c r="C19" s="219" t="s">
        <v>9</v>
      </c>
      <c r="D19">
        <f>(6.8+6.3)*4+4.8*3+1.8*4+11.3*3.5+9.7*3.5+1.8*4+3*3.5+3.3*3.7+8.5*3.7+6.8*3.7+14.8*3.2+11.6*3.3+8.4*3+15.6*3.3+2.5*3.2+5.9*3+1135</f>
        <v>1557.04</v>
      </c>
      <c r="E19" s="221"/>
      <c r="F19" s="221">
        <f>+ROUND(D19*E19,0)</f>
        <v>0</v>
      </c>
    </row>
    <row r="20" spans="1:7" ht="12.75" customHeight="1" x14ac:dyDescent="0.2">
      <c r="A20" s="219">
        <v>4</v>
      </c>
      <c r="B20" s="222" t="s">
        <v>469</v>
      </c>
      <c r="C20" s="219" t="s">
        <v>9</v>
      </c>
      <c r="D20" s="220">
        <f>820+170.8</f>
        <v>990.8</v>
      </c>
      <c r="E20" s="221"/>
      <c r="F20" s="221">
        <f>+ROUND(D20*E20,0)</f>
        <v>0</v>
      </c>
      <c r="G20" s="213"/>
    </row>
    <row r="21" spans="1:7" s="290" customFormat="1" ht="12.75" customHeight="1" x14ac:dyDescent="0.2">
      <c r="A21" s="285">
        <v>5</v>
      </c>
      <c r="B21" s="286" t="s">
        <v>470</v>
      </c>
      <c r="C21" s="285" t="s">
        <v>9</v>
      </c>
      <c r="D21" s="287">
        <v>510</v>
      </c>
      <c r="E21" s="288"/>
      <c r="F21" s="288">
        <f t="shared" ref="F21:F46" si="1">+ROUND(D21*E21,0)</f>
        <v>0</v>
      </c>
      <c r="G21" s="289"/>
    </row>
    <row r="22" spans="1:7" s="290" customFormat="1" ht="12.75" customHeight="1" x14ac:dyDescent="0.2">
      <c r="A22" s="285">
        <v>6</v>
      </c>
      <c r="B22" s="286" t="s">
        <v>471</v>
      </c>
      <c r="C22" s="285" t="s">
        <v>9</v>
      </c>
      <c r="D22" s="287">
        <v>94.5</v>
      </c>
      <c r="E22" s="288"/>
      <c r="F22" s="288">
        <f t="shared" si="1"/>
        <v>0</v>
      </c>
      <c r="G22" s="289"/>
    </row>
    <row r="23" spans="1:7" s="290" customFormat="1" ht="12.75" customHeight="1" x14ac:dyDescent="0.2">
      <c r="A23" s="285">
        <v>7</v>
      </c>
      <c r="B23" s="286" t="s">
        <v>472</v>
      </c>
      <c r="C23" s="285" t="s">
        <v>38</v>
      </c>
      <c r="D23" s="287">
        <f>7+1</f>
        <v>8</v>
      </c>
      <c r="E23" s="288"/>
      <c r="F23" s="288">
        <f t="shared" si="1"/>
        <v>0</v>
      </c>
      <c r="G23" s="289"/>
    </row>
    <row r="24" spans="1:7" s="290" customFormat="1" ht="24" x14ac:dyDescent="0.2">
      <c r="A24" s="291">
        <v>8</v>
      </c>
      <c r="B24" s="286" t="s">
        <v>473</v>
      </c>
      <c r="C24" s="285" t="s">
        <v>38</v>
      </c>
      <c r="D24" s="287">
        <v>8</v>
      </c>
      <c r="E24" s="288"/>
      <c r="F24" s="288">
        <f t="shared" si="1"/>
        <v>0</v>
      </c>
      <c r="G24" s="289"/>
    </row>
    <row r="25" spans="1:7" s="290" customFormat="1" ht="24" x14ac:dyDescent="0.2">
      <c r="A25" s="291">
        <v>9</v>
      </c>
      <c r="B25" s="286" t="s">
        <v>474</v>
      </c>
      <c r="C25" s="285" t="s">
        <v>38</v>
      </c>
      <c r="D25" s="287">
        <v>9</v>
      </c>
      <c r="E25" s="288"/>
      <c r="F25" s="288">
        <f t="shared" si="1"/>
        <v>0</v>
      </c>
      <c r="G25" s="289"/>
    </row>
    <row r="26" spans="1:7" s="290" customFormat="1" ht="24" x14ac:dyDescent="0.2">
      <c r="A26" s="291">
        <v>10</v>
      </c>
      <c r="B26" s="286" t="s">
        <v>475</v>
      </c>
      <c r="C26" s="285" t="s">
        <v>38</v>
      </c>
      <c r="D26" s="287">
        <v>1</v>
      </c>
      <c r="E26" s="288"/>
      <c r="F26" s="288">
        <f t="shared" si="1"/>
        <v>0</v>
      </c>
      <c r="G26" s="289"/>
    </row>
    <row r="27" spans="1:7" s="290" customFormat="1" ht="12.75" customHeight="1" x14ac:dyDescent="0.2">
      <c r="A27" s="285">
        <v>11</v>
      </c>
      <c r="B27" s="286" t="s">
        <v>476</v>
      </c>
      <c r="C27" s="285" t="s">
        <v>38</v>
      </c>
      <c r="D27" s="287">
        <v>44</v>
      </c>
      <c r="E27" s="288"/>
      <c r="F27" s="288">
        <f t="shared" si="1"/>
        <v>0</v>
      </c>
      <c r="G27" s="289"/>
    </row>
    <row r="28" spans="1:7" s="290" customFormat="1" ht="12.75" customHeight="1" x14ac:dyDescent="0.2">
      <c r="A28" s="285">
        <v>12</v>
      </c>
      <c r="B28" s="286" t="s">
        <v>477</v>
      </c>
      <c r="C28" s="285" t="s">
        <v>38</v>
      </c>
      <c r="D28" s="287">
        <v>1</v>
      </c>
      <c r="E28" s="288"/>
      <c r="F28" s="288">
        <f t="shared" si="1"/>
        <v>0</v>
      </c>
      <c r="G28" s="289"/>
    </row>
    <row r="29" spans="1:7" s="290" customFormat="1" ht="12.75" customHeight="1" x14ac:dyDescent="0.2">
      <c r="A29" s="285">
        <v>13</v>
      </c>
      <c r="B29" s="286" t="s">
        <v>478</v>
      </c>
      <c r="C29" s="285" t="s">
        <v>38</v>
      </c>
      <c r="D29" s="287">
        <v>62</v>
      </c>
      <c r="E29" s="288"/>
      <c r="F29" s="288">
        <f t="shared" si="1"/>
        <v>0</v>
      </c>
      <c r="G29" s="289"/>
    </row>
    <row r="30" spans="1:7" s="290" customFormat="1" ht="12.75" customHeight="1" x14ac:dyDescent="0.2">
      <c r="A30" s="285">
        <v>14</v>
      </c>
      <c r="B30" s="286" t="s">
        <v>479</v>
      </c>
      <c r="C30" s="285" t="s">
        <v>38</v>
      </c>
      <c r="D30" s="287">
        <v>23</v>
      </c>
      <c r="E30" s="288"/>
      <c r="F30" s="288">
        <f t="shared" si="1"/>
        <v>0</v>
      </c>
      <c r="G30" s="289"/>
    </row>
    <row r="31" spans="1:7" s="290" customFormat="1" ht="12.75" customHeight="1" x14ac:dyDescent="0.2">
      <c r="A31" s="285">
        <v>15</v>
      </c>
      <c r="B31" s="286" t="s">
        <v>480</v>
      </c>
      <c r="C31" s="285" t="s">
        <v>38</v>
      </c>
      <c r="D31" s="287">
        <v>5</v>
      </c>
      <c r="E31" s="288"/>
      <c r="F31" s="288">
        <f t="shared" si="1"/>
        <v>0</v>
      </c>
      <c r="G31" s="289"/>
    </row>
    <row r="32" spans="1:7" s="290" customFormat="1" ht="12.75" customHeight="1" x14ac:dyDescent="0.2">
      <c r="A32" s="285">
        <v>16</v>
      </c>
      <c r="B32" s="292" t="s">
        <v>481</v>
      </c>
      <c r="C32" s="285" t="s">
        <v>38</v>
      </c>
      <c r="D32" s="287">
        <v>7</v>
      </c>
      <c r="E32" s="288"/>
      <c r="F32" s="288">
        <f t="shared" si="1"/>
        <v>0</v>
      </c>
      <c r="G32" s="289"/>
    </row>
    <row r="33" spans="1:7" s="290" customFormat="1" ht="12.75" customHeight="1" x14ac:dyDescent="0.2">
      <c r="A33" s="285">
        <v>17</v>
      </c>
      <c r="B33" s="286" t="s">
        <v>482</v>
      </c>
      <c r="C33" s="285" t="s">
        <v>9</v>
      </c>
      <c r="D33" s="287">
        <f>96.3+8</f>
        <v>104.3</v>
      </c>
      <c r="E33" s="288"/>
      <c r="F33" s="288">
        <f t="shared" si="1"/>
        <v>0</v>
      </c>
      <c r="G33" s="289"/>
    </row>
    <row r="34" spans="1:7" s="290" customFormat="1" ht="12.75" customHeight="1" x14ac:dyDescent="0.2">
      <c r="A34" s="285">
        <v>18</v>
      </c>
      <c r="B34" s="286" t="s">
        <v>483</v>
      </c>
      <c r="C34" s="285" t="s">
        <v>38</v>
      </c>
      <c r="D34" s="287">
        <f>7+1</f>
        <v>8</v>
      </c>
      <c r="E34" s="288"/>
      <c r="F34" s="288">
        <f t="shared" si="1"/>
        <v>0</v>
      </c>
      <c r="G34" s="289"/>
    </row>
    <row r="35" spans="1:7" s="290" customFormat="1" ht="12.75" customHeight="1" x14ac:dyDescent="0.2">
      <c r="A35" s="285">
        <v>19</v>
      </c>
      <c r="B35" s="286" t="s">
        <v>484</v>
      </c>
      <c r="C35" s="285" t="s">
        <v>38</v>
      </c>
      <c r="D35" s="287">
        <v>5</v>
      </c>
      <c r="E35" s="288"/>
      <c r="F35" s="288">
        <f t="shared" si="1"/>
        <v>0</v>
      </c>
      <c r="G35" s="289"/>
    </row>
    <row r="36" spans="1:7" s="290" customFormat="1" ht="12.75" customHeight="1" x14ac:dyDescent="0.2">
      <c r="A36" s="285">
        <v>20</v>
      </c>
      <c r="B36" s="286" t="s">
        <v>485</v>
      </c>
      <c r="C36" s="285" t="s">
        <v>38</v>
      </c>
      <c r="D36" s="287">
        <f>6+4</f>
        <v>10</v>
      </c>
      <c r="E36" s="288"/>
      <c r="F36" s="288">
        <f t="shared" si="1"/>
        <v>0</v>
      </c>
      <c r="G36" s="289"/>
    </row>
    <row r="37" spans="1:7" s="290" customFormat="1" ht="12.75" customHeight="1" x14ac:dyDescent="0.2">
      <c r="A37" s="285">
        <v>21</v>
      </c>
      <c r="B37" s="286" t="s">
        <v>486</v>
      </c>
      <c r="C37" s="285" t="s">
        <v>38</v>
      </c>
      <c r="D37" s="287">
        <v>1</v>
      </c>
      <c r="E37" s="288"/>
      <c r="F37" s="288">
        <f t="shared" si="1"/>
        <v>0</v>
      </c>
      <c r="G37" s="289"/>
    </row>
    <row r="38" spans="1:7" s="290" customFormat="1" ht="12.75" customHeight="1" x14ac:dyDescent="0.2">
      <c r="A38" s="285">
        <v>22</v>
      </c>
      <c r="B38" s="286" t="s">
        <v>487</v>
      </c>
      <c r="C38" s="285" t="s">
        <v>38</v>
      </c>
      <c r="D38" s="287">
        <f>2+2</f>
        <v>4</v>
      </c>
      <c r="E38" s="288"/>
      <c r="F38" s="288">
        <f t="shared" si="1"/>
        <v>0</v>
      </c>
      <c r="G38" s="289"/>
    </row>
    <row r="39" spans="1:7" s="290" customFormat="1" ht="12.75" customHeight="1" x14ac:dyDescent="0.2">
      <c r="A39" s="285">
        <v>23</v>
      </c>
      <c r="B39" s="285" t="s">
        <v>488</v>
      </c>
      <c r="C39" s="285" t="s">
        <v>38</v>
      </c>
      <c r="D39" s="287">
        <v>1</v>
      </c>
      <c r="E39" s="288"/>
      <c r="F39" s="288">
        <f t="shared" si="1"/>
        <v>0</v>
      </c>
      <c r="G39" s="289"/>
    </row>
    <row r="40" spans="1:7" s="290" customFormat="1" ht="12.75" customHeight="1" x14ac:dyDescent="0.2">
      <c r="A40" s="285">
        <v>24</v>
      </c>
      <c r="B40" s="285" t="s">
        <v>489</v>
      </c>
      <c r="C40" s="285" t="s">
        <v>38</v>
      </c>
      <c r="D40" s="287">
        <v>3</v>
      </c>
      <c r="E40" s="288"/>
      <c r="F40" s="288">
        <f t="shared" si="1"/>
        <v>0</v>
      </c>
      <c r="G40" s="289"/>
    </row>
    <row r="41" spans="1:7" s="290" customFormat="1" ht="12.75" customHeight="1" x14ac:dyDescent="0.2">
      <c r="A41" s="285">
        <v>25</v>
      </c>
      <c r="B41" s="285" t="s">
        <v>490</v>
      </c>
      <c r="C41" s="285" t="s">
        <v>38</v>
      </c>
      <c r="D41" s="287">
        <f>2+1</f>
        <v>3</v>
      </c>
      <c r="E41" s="288"/>
      <c r="F41" s="288">
        <f t="shared" si="1"/>
        <v>0</v>
      </c>
      <c r="G41" s="289"/>
    </row>
    <row r="42" spans="1:7" s="290" customFormat="1" ht="12.75" customHeight="1" x14ac:dyDescent="0.2">
      <c r="A42" s="285">
        <v>26</v>
      </c>
      <c r="B42" s="285" t="s">
        <v>491</v>
      </c>
      <c r="C42" s="285" t="s">
        <v>38</v>
      </c>
      <c r="D42" s="287">
        <v>1</v>
      </c>
      <c r="E42" s="288"/>
      <c r="F42" s="288">
        <f t="shared" si="1"/>
        <v>0</v>
      </c>
      <c r="G42" s="289"/>
    </row>
    <row r="43" spans="1:7" s="290" customFormat="1" ht="12.75" customHeight="1" x14ac:dyDescent="0.2">
      <c r="A43" s="285">
        <v>27</v>
      </c>
      <c r="B43" s="285" t="s">
        <v>492</v>
      </c>
      <c r="C43" s="285" t="s">
        <v>38</v>
      </c>
      <c r="D43" s="287">
        <v>2</v>
      </c>
      <c r="E43" s="288"/>
      <c r="F43" s="288">
        <f>+ROUND(D43*E43,0)</f>
        <v>0</v>
      </c>
      <c r="G43" s="289"/>
    </row>
    <row r="44" spans="1:7" s="290" customFormat="1" ht="12.75" customHeight="1" x14ac:dyDescent="0.2">
      <c r="A44" s="285">
        <v>28</v>
      </c>
      <c r="B44" s="285" t="s">
        <v>493</v>
      </c>
      <c r="C44" s="285" t="s">
        <v>38</v>
      </c>
      <c r="D44" s="287">
        <v>4</v>
      </c>
      <c r="E44" s="288"/>
      <c r="F44" s="288">
        <f t="shared" si="1"/>
        <v>0</v>
      </c>
      <c r="G44" s="289"/>
    </row>
    <row r="45" spans="1:7" s="290" customFormat="1" ht="12.75" customHeight="1" x14ac:dyDescent="0.2">
      <c r="A45" s="285">
        <v>28</v>
      </c>
      <c r="B45" s="285" t="s">
        <v>494</v>
      </c>
      <c r="C45" s="285" t="s">
        <v>38</v>
      </c>
      <c r="D45" s="287">
        <v>25</v>
      </c>
      <c r="E45" s="288"/>
      <c r="F45" s="288">
        <f t="shared" si="1"/>
        <v>0</v>
      </c>
      <c r="G45" s="289"/>
    </row>
    <row r="46" spans="1:7" s="290" customFormat="1" ht="12.75" customHeight="1" x14ac:dyDescent="0.2">
      <c r="A46" s="285">
        <v>29</v>
      </c>
      <c r="B46" s="285" t="s">
        <v>495</v>
      </c>
      <c r="C46" s="285" t="s">
        <v>38</v>
      </c>
      <c r="D46" s="287">
        <v>170</v>
      </c>
      <c r="E46" s="288"/>
      <c r="F46" s="288">
        <f t="shared" si="1"/>
        <v>0</v>
      </c>
      <c r="G46" s="289"/>
    </row>
    <row r="47" spans="1:7" s="290" customFormat="1" x14ac:dyDescent="0.25">
      <c r="A47" s="293"/>
      <c r="B47" s="294" t="s">
        <v>496</v>
      </c>
      <c r="C47" s="294"/>
      <c r="D47" s="295"/>
      <c r="E47" s="294"/>
      <c r="F47" s="294"/>
      <c r="G47" s="296">
        <f>SUM(F48:F57)</f>
        <v>0</v>
      </c>
    </row>
    <row r="48" spans="1:7" s="290" customFormat="1" ht="24" x14ac:dyDescent="0.2">
      <c r="A48" s="291">
        <v>1</v>
      </c>
      <c r="B48" s="286" t="s">
        <v>497</v>
      </c>
      <c r="C48" s="285" t="s">
        <v>463</v>
      </c>
      <c r="D48" s="290">
        <v>183.7</v>
      </c>
      <c r="E48" s="288"/>
      <c r="F48" s="288">
        <f t="shared" ref="F48:F53" si="2">+ROUND(D48*E48,0)</f>
        <v>0</v>
      </c>
      <c r="G48" s="297"/>
    </row>
    <row r="49" spans="1:7" s="290" customFormat="1" ht="12.75" customHeight="1" x14ac:dyDescent="0.2">
      <c r="A49" s="285">
        <v>2</v>
      </c>
      <c r="B49" s="285" t="s">
        <v>498</v>
      </c>
      <c r="C49" s="285" t="s">
        <v>463</v>
      </c>
      <c r="D49" s="287">
        <v>65</v>
      </c>
      <c r="E49" s="288"/>
      <c r="F49" s="288">
        <f t="shared" si="2"/>
        <v>0</v>
      </c>
      <c r="G49" s="297"/>
    </row>
    <row r="50" spans="1:7" s="290" customFormat="1" ht="12.75" customHeight="1" x14ac:dyDescent="0.2">
      <c r="A50" s="285">
        <v>3</v>
      </c>
      <c r="B50" s="285" t="s">
        <v>499</v>
      </c>
      <c r="C50" s="285" t="s">
        <v>463</v>
      </c>
      <c r="D50" s="287">
        <v>110.4</v>
      </c>
      <c r="E50" s="288"/>
      <c r="F50" s="288">
        <f t="shared" si="2"/>
        <v>0</v>
      </c>
      <c r="G50" s="297"/>
    </row>
    <row r="51" spans="1:7" s="290" customFormat="1" ht="12.75" customHeight="1" x14ac:dyDescent="0.2">
      <c r="A51" s="285">
        <v>4</v>
      </c>
      <c r="B51" s="285" t="s">
        <v>500</v>
      </c>
      <c r="C51" s="285" t="s">
        <v>463</v>
      </c>
      <c r="D51" s="287">
        <v>143.565</v>
      </c>
      <c r="E51" s="288"/>
      <c r="F51" s="288">
        <f t="shared" si="2"/>
        <v>0</v>
      </c>
      <c r="G51" s="297"/>
    </row>
    <row r="52" spans="1:7" s="290" customFormat="1" ht="12.75" customHeight="1" x14ac:dyDescent="0.2">
      <c r="A52" s="285">
        <v>5</v>
      </c>
      <c r="B52" s="286" t="s">
        <v>501</v>
      </c>
      <c r="C52" s="285"/>
      <c r="D52" s="287">
        <f>230.7</f>
        <v>230.7</v>
      </c>
      <c r="E52" s="288"/>
      <c r="F52" s="288">
        <f t="shared" si="2"/>
        <v>0</v>
      </c>
      <c r="G52" s="297"/>
    </row>
    <row r="53" spans="1:7" s="290" customFormat="1" ht="12.75" customHeight="1" x14ac:dyDescent="0.2">
      <c r="A53" s="285">
        <v>6</v>
      </c>
      <c r="B53" s="285" t="s">
        <v>502</v>
      </c>
      <c r="C53" s="285" t="s">
        <v>463</v>
      </c>
      <c r="D53" s="287">
        <v>200.7</v>
      </c>
      <c r="E53" s="288"/>
      <c r="F53" s="288">
        <f t="shared" si="2"/>
        <v>0</v>
      </c>
      <c r="G53" s="297"/>
    </row>
    <row r="54" spans="1:7" s="290" customFormat="1" ht="12.75" customHeight="1" x14ac:dyDescent="0.2">
      <c r="A54" s="285">
        <v>7</v>
      </c>
      <c r="B54" s="285" t="s">
        <v>503</v>
      </c>
      <c r="C54" s="285" t="s">
        <v>463</v>
      </c>
      <c r="D54" s="287"/>
      <c r="E54" s="288"/>
      <c r="F54" s="288"/>
      <c r="G54" s="297"/>
    </row>
    <row r="55" spans="1:7" s="290" customFormat="1" ht="12.75" x14ac:dyDescent="0.2">
      <c r="A55" s="291">
        <v>8</v>
      </c>
      <c r="B55" s="286" t="s">
        <v>504</v>
      </c>
      <c r="C55" s="285" t="s">
        <v>463</v>
      </c>
      <c r="D55" s="287"/>
      <c r="E55" s="288"/>
      <c r="F55" s="288"/>
      <c r="G55" s="297"/>
    </row>
    <row r="56" spans="1:7" s="290" customFormat="1" ht="12.75" customHeight="1" x14ac:dyDescent="0.2">
      <c r="A56" s="285"/>
      <c r="B56" s="285"/>
      <c r="C56" s="285"/>
      <c r="D56" s="287"/>
      <c r="E56" s="288"/>
      <c r="F56" s="288"/>
      <c r="G56" s="297"/>
    </row>
    <row r="57" spans="1:7" s="290" customFormat="1" ht="12.75" customHeight="1" x14ac:dyDescent="0.2">
      <c r="A57" s="285"/>
      <c r="B57" s="285"/>
      <c r="C57" s="285"/>
      <c r="D57" s="287"/>
      <c r="E57" s="288"/>
      <c r="F57" s="288"/>
      <c r="G57" s="297"/>
    </row>
    <row r="58" spans="1:7" s="290" customFormat="1" x14ac:dyDescent="0.25">
      <c r="A58" s="293"/>
      <c r="B58" s="294" t="s">
        <v>505</v>
      </c>
      <c r="C58" s="294"/>
      <c r="D58" s="295"/>
      <c r="E58" s="298"/>
      <c r="F58" s="298"/>
      <c r="G58" s="296">
        <f>SUM(F59:F60)</f>
        <v>0</v>
      </c>
    </row>
    <row r="59" spans="1:7" s="290" customFormat="1" ht="136.5" customHeight="1" x14ac:dyDescent="0.2">
      <c r="A59" s="291">
        <v>1</v>
      </c>
      <c r="B59" s="299" t="s">
        <v>506</v>
      </c>
      <c r="C59" s="285" t="s">
        <v>9</v>
      </c>
      <c r="D59" s="287">
        <f>236.6+250+419.3</f>
        <v>905.90000000000009</v>
      </c>
      <c r="E59" s="288"/>
      <c r="F59" s="288">
        <f>+ROUND(D59*E59,0)</f>
        <v>0</v>
      </c>
      <c r="G59" s="297"/>
    </row>
    <row r="60" spans="1:7" s="290" customFormat="1" ht="12.75" customHeight="1" x14ac:dyDescent="0.2">
      <c r="A60" s="285">
        <v>2</v>
      </c>
      <c r="B60" s="286" t="s">
        <v>507</v>
      </c>
      <c r="C60" s="285" t="s">
        <v>38</v>
      </c>
      <c r="D60" s="287">
        <v>1</v>
      </c>
      <c r="E60" s="288"/>
      <c r="F60" s="288">
        <f>+ROUND(D60*E60,0)</f>
        <v>0</v>
      </c>
      <c r="G60" s="289"/>
    </row>
    <row r="61" spans="1:7" s="290" customFormat="1" x14ac:dyDescent="0.25">
      <c r="A61" s="293"/>
      <c r="B61" s="294" t="s">
        <v>508</v>
      </c>
      <c r="C61" s="294"/>
      <c r="D61" s="295"/>
      <c r="E61" s="294"/>
      <c r="F61" s="294"/>
      <c r="G61" s="300"/>
    </row>
    <row r="62" spans="1:7" s="290" customFormat="1" x14ac:dyDescent="0.25">
      <c r="A62" s="293"/>
      <c r="B62" s="294" t="s">
        <v>509</v>
      </c>
      <c r="C62" s="294"/>
      <c r="D62" s="295"/>
      <c r="E62" s="294"/>
      <c r="F62" s="294"/>
      <c r="G62" s="296" t="e">
        <f>SUM(F63:F92)</f>
        <v>#REF!</v>
      </c>
    </row>
    <row r="63" spans="1:7" s="290" customFormat="1" ht="24" x14ac:dyDescent="0.2">
      <c r="A63" s="291">
        <v>1</v>
      </c>
      <c r="B63" s="286" t="s">
        <v>510</v>
      </c>
      <c r="C63" s="285" t="s">
        <v>9</v>
      </c>
      <c r="D63" s="287">
        <f>(25.7+28.1+2+23.6+11.3+20.3+24.1+14+13.6+3.1*3+3.8*4+4.55+1.5*3+0.7+5.4+0.6+2.65+3.15+1.55+2.1+3.85+14.8+1.2+8.55+4.1+1.55+2.4+11.55+3.4*2+1.85+4.6+1.35*2+2.15+5.1+1.8+4.9+11.6+4.55*3+4.25+4.7*2+9.2+6+4.95+11.4)*0.28+(2.15+17.3+16.4+1.1*2+14.5+4.7+3.85+1.25*2)*0.35</f>
        <v>123.27000000000001</v>
      </c>
      <c r="E63" s="288"/>
      <c r="F63" s="288">
        <f t="shared" ref="F63:F97" si="3">+ROUND(D63*E63,0)</f>
        <v>0</v>
      </c>
      <c r="G63" s="289"/>
    </row>
    <row r="64" spans="1:7" s="305" customFormat="1" ht="24" x14ac:dyDescent="0.2">
      <c r="A64" s="301">
        <v>2</v>
      </c>
      <c r="B64" s="286" t="s">
        <v>511</v>
      </c>
      <c r="C64" s="286" t="s">
        <v>9</v>
      </c>
      <c r="D64" s="302">
        <f>846.9+63.6+3.5*3.6</f>
        <v>923.1</v>
      </c>
      <c r="E64" s="303"/>
      <c r="F64" s="303">
        <f t="shared" si="3"/>
        <v>0</v>
      </c>
      <c r="G64" s="304"/>
    </row>
    <row r="65" spans="1:7" s="305" customFormat="1" ht="24.75" x14ac:dyDescent="0.25">
      <c r="A65" s="301">
        <v>3</v>
      </c>
      <c r="B65" s="286" t="s">
        <v>512</v>
      </c>
      <c r="C65" s="286" t="s">
        <v>9</v>
      </c>
      <c r="D65" s="306">
        <f>1016.15+8*2*3.2+(1.65*3+1.4)*2.15+4*3.6+1.1*3.6+5*3.6+1.5*3*2.15+0.9*2.15+(5.3+3+2.65+1.3*2+7)*3.6+(11.4+4.4+4.15+8.25)*3.2+((1.5+0.4)*2+1.95)*3.6+7.5*3.2+2.2*3.6+(9.65+2.7)*3.2+(2.6+3.3)*3.6+9.75*3.2+(3.15+3.6+1.2*4+5.2)*3.6+35.5*3.2+(19.9+1.6*3+0.6*2+0.4+5.65+7.4+6.6+7)*3.6+(11.35+3.05+2.45+4.25+1.15*2+15.25+3.6+2.55+0.85+2.95+12.1+6.9)*3.2+(4.5+2.5)*1.2+(8+35.5)*3.2+5.6*3.6+(1.2*4+3.9)*2.2+(11.3+13.5)*3.6+3.15*3.2+2.9*3+2.7*2.8+19.5*3+2.5*3.2+3.5*3.6+(4.2+2.7+5.6)*5+(8.4+1.4+8.6+9.3+3.8)*3.6+(1.38*2+0.6*2+1.55*2+2*2+1.8*4+1.5*2+1.3*2)*6+(12.8+17.8+7.5)*3.3+(9.55+0.6+0.55+8.1+2.6+5.5)*1.2+346.85+347</f>
        <v>3571.1524999999992</v>
      </c>
      <c r="E65" s="303"/>
      <c r="F65" s="303">
        <f t="shared" si="3"/>
        <v>0</v>
      </c>
      <c r="G65" s="304"/>
    </row>
    <row r="66" spans="1:7" s="305" customFormat="1" ht="36" x14ac:dyDescent="0.2">
      <c r="A66" s="301">
        <v>4</v>
      </c>
      <c r="B66" s="286" t="s">
        <v>513</v>
      </c>
      <c r="C66" s="286" t="s">
        <v>9</v>
      </c>
      <c r="D66" s="307">
        <f>14*2+14</f>
        <v>42</v>
      </c>
      <c r="E66" s="303"/>
      <c r="F66" s="303">
        <f t="shared" si="3"/>
        <v>0</v>
      </c>
      <c r="G66" s="304"/>
    </row>
    <row r="67" spans="1:7" s="290" customFormat="1" ht="12.75" x14ac:dyDescent="0.2">
      <c r="A67" s="308"/>
      <c r="B67" s="309" t="s">
        <v>514</v>
      </c>
      <c r="C67" s="309"/>
      <c r="D67" s="310"/>
      <c r="E67" s="309"/>
      <c r="F67" s="311">
        <f t="shared" si="3"/>
        <v>0</v>
      </c>
      <c r="G67" s="312"/>
    </row>
    <row r="68" spans="1:7" s="290" customFormat="1" ht="12.75" customHeight="1" x14ac:dyDescent="0.2">
      <c r="A68" s="285">
        <v>5</v>
      </c>
      <c r="B68" s="286" t="s">
        <v>515</v>
      </c>
      <c r="C68" s="285" t="s">
        <v>9</v>
      </c>
      <c r="D68" s="287" t="e">
        <f>(17.6+25.6)*0.6+213.87*0.5+(238.2+2.72+13+178.2+81.6+50+15.2+67.66+12+12.6)*0.15+(#REF!*0.3)+#REF!*0.3+#REF!*3+#REF!+105.05</f>
        <v>#REF!</v>
      </c>
      <c r="E68" s="288"/>
      <c r="F68" s="288" t="e">
        <f t="shared" si="3"/>
        <v>#REF!</v>
      </c>
      <c r="G68" s="289"/>
    </row>
    <row r="69" spans="1:7" s="290" customFormat="1" ht="12.75" customHeight="1" x14ac:dyDescent="0.2">
      <c r="A69" s="285">
        <v>6</v>
      </c>
      <c r="B69" s="286" t="s">
        <v>516</v>
      </c>
      <c r="C69" s="285" t="s">
        <v>39</v>
      </c>
      <c r="D69" s="313">
        <f>(1.45+8.75)*4+17*2</f>
        <v>74.8</v>
      </c>
      <c r="E69" s="288"/>
      <c r="F69" s="288">
        <f>+ROUND(D69*E69,0)</f>
        <v>0</v>
      </c>
      <c r="G69" s="289"/>
    </row>
    <row r="70" spans="1:7" s="290" customFormat="1" ht="12.75" customHeight="1" x14ac:dyDescent="0.2">
      <c r="A70" s="285">
        <v>7</v>
      </c>
      <c r="B70" s="286" t="s">
        <v>517</v>
      </c>
      <c r="C70" s="285" t="s">
        <v>9</v>
      </c>
      <c r="D70" s="313">
        <f>164.2+24.8</f>
        <v>189</v>
      </c>
      <c r="E70" s="288"/>
      <c r="F70" s="288">
        <f>+ROUND(D70*E70,0)</f>
        <v>0</v>
      </c>
      <c r="G70" s="289"/>
    </row>
    <row r="71" spans="1:7" s="290" customFormat="1" ht="12.75" customHeight="1" x14ac:dyDescent="0.2">
      <c r="A71" s="285">
        <v>8</v>
      </c>
      <c r="B71" s="285" t="s">
        <v>518</v>
      </c>
      <c r="C71" s="285" t="s">
        <v>9</v>
      </c>
      <c r="D71" s="313">
        <f>220.4+49.15</f>
        <v>269.55</v>
      </c>
      <c r="E71" s="288"/>
      <c r="F71" s="288">
        <f t="shared" si="3"/>
        <v>0</v>
      </c>
      <c r="G71" s="289"/>
    </row>
    <row r="72" spans="1:7" s="290" customFormat="1" ht="12.75" customHeight="1" x14ac:dyDescent="0.2">
      <c r="A72" s="285">
        <v>9</v>
      </c>
      <c r="B72" s="285" t="s">
        <v>519</v>
      </c>
      <c r="C72" s="285" t="s">
        <v>9</v>
      </c>
      <c r="D72" s="313">
        <f>35+26*0.2+10.1+15*0.2+6+12*0.2+6+12*0.2+9.2+14.5*0.2+4.4+10*0.2+15.3+16.3*0.2+(2.4*1.9)</f>
        <v>111.72000000000003</v>
      </c>
      <c r="E72" s="288"/>
      <c r="F72" s="288">
        <f t="shared" si="3"/>
        <v>0</v>
      </c>
      <c r="G72" s="289"/>
    </row>
    <row r="73" spans="1:7" s="290" customFormat="1" ht="12.75" x14ac:dyDescent="0.2">
      <c r="A73" s="308"/>
      <c r="B73" s="309" t="s">
        <v>520</v>
      </c>
      <c r="C73" s="309"/>
      <c r="D73" s="310"/>
      <c r="E73" s="309"/>
      <c r="F73" s="311">
        <f t="shared" si="3"/>
        <v>0</v>
      </c>
      <c r="G73" s="312"/>
    </row>
    <row r="74" spans="1:7" s="290" customFormat="1" ht="22.5" x14ac:dyDescent="0.2">
      <c r="A74" s="291">
        <v>10</v>
      </c>
      <c r="B74" s="299" t="s">
        <v>521</v>
      </c>
      <c r="C74" s="285" t="s">
        <v>9</v>
      </c>
      <c r="D74" s="287">
        <f>(25.7+28.1+2+23.6)+(11.3+20.3+24.1+14+13.6+3.1*3+3.8*4+4.55+1.5*3+0.7+5.4+0.6+2.65+3.15+1.55+2.1+3.85+14.8+1.2+8.55+4.1+1.55+2.4+11.55+3.4*2+1.85+4.6+1.35*2+2.15+5.1+1.8+4.9+11.6+4.55*3+4.25+4.7*2+9.2+6+4.95+11.4)*0.45+(2.15+17.3+16.4+1.1*2+14.5+4.7+3.85+1.25*2)*0.7</f>
        <v>250.52750000000003</v>
      </c>
      <c r="E74" s="288"/>
      <c r="F74" s="288">
        <f t="shared" si="3"/>
        <v>0</v>
      </c>
      <c r="G74" s="289"/>
    </row>
    <row r="75" spans="1:7" s="290" customFormat="1" ht="33.75" x14ac:dyDescent="0.2">
      <c r="A75" s="291">
        <v>11</v>
      </c>
      <c r="B75" s="299" t="s">
        <v>522</v>
      </c>
      <c r="C75" s="285" t="s">
        <v>9</v>
      </c>
      <c r="D75" s="287">
        <f>25.7*16+(28.1+2+23.6)*12.1+(17.9+11.7)*5.5+(3.3+1.5+2.4+14.9)*16+3.2*12.5+(4.5+4.7)*8.3+24.3*9+24*2+(8.8+3+1+9+8.8+7.5)*3.3+(4.9+2.65+1.55+2.6+8.1+2.6+5.5)*1.2*2+444.5</f>
        <v>2597.62</v>
      </c>
      <c r="E75" s="288"/>
      <c r="F75" s="288">
        <f t="shared" si="3"/>
        <v>0</v>
      </c>
      <c r="G75" s="289"/>
    </row>
    <row r="76" spans="1:7" s="290" customFormat="1" ht="22.5" x14ac:dyDescent="0.2">
      <c r="A76" s="291">
        <v>12</v>
      </c>
      <c r="B76" s="299" t="s">
        <v>523</v>
      </c>
      <c r="C76" s="285" t="s">
        <v>9</v>
      </c>
      <c r="D76" s="313">
        <f>D64+D65*2+D66</f>
        <v>8107.4049999999988</v>
      </c>
      <c r="E76" s="288"/>
      <c r="F76" s="288">
        <f t="shared" si="3"/>
        <v>0</v>
      </c>
      <c r="G76" s="289"/>
    </row>
    <row r="77" spans="1:7" s="290" customFormat="1" ht="12.75" x14ac:dyDescent="0.2">
      <c r="A77" s="291">
        <v>13</v>
      </c>
      <c r="B77" s="299" t="s">
        <v>524</v>
      </c>
      <c r="C77" s="285" t="s">
        <v>9</v>
      </c>
      <c r="D77" s="313">
        <f>3.2*16+(18.1+2.75+15.6+1.3+1.1+(3.4+2.5)*2+10.75+11+12.5+3.15)*1.2</f>
        <v>156.86000000000001</v>
      </c>
      <c r="E77" s="288"/>
      <c r="F77" s="288">
        <f t="shared" si="3"/>
        <v>0</v>
      </c>
      <c r="G77" s="289"/>
    </row>
    <row r="78" spans="1:7" s="290" customFormat="1" ht="24" x14ac:dyDescent="0.2">
      <c r="A78" s="291">
        <v>14</v>
      </c>
      <c r="B78" s="286" t="s">
        <v>525</v>
      </c>
      <c r="C78" s="285" t="s">
        <v>9</v>
      </c>
      <c r="D78" s="313">
        <f>533.2+368.6+105.1</f>
        <v>1006.9000000000001</v>
      </c>
      <c r="E78" s="288"/>
      <c r="F78" s="288">
        <f t="shared" si="3"/>
        <v>0</v>
      </c>
      <c r="G78" s="289"/>
    </row>
    <row r="79" spans="1:7" s="290" customFormat="1" ht="33.75" x14ac:dyDescent="0.2">
      <c r="A79" s="291">
        <v>15</v>
      </c>
      <c r="B79" s="299" t="s">
        <v>526</v>
      </c>
      <c r="C79" s="285" t="s">
        <v>39</v>
      </c>
      <c r="D79" s="313">
        <f>197.4+136.5+38.9</f>
        <v>372.79999999999995</v>
      </c>
      <c r="E79" s="288"/>
      <c r="F79" s="288">
        <f t="shared" si="3"/>
        <v>0</v>
      </c>
      <c r="G79" s="289"/>
    </row>
    <row r="80" spans="1:7" s="290" customFormat="1" ht="45" x14ac:dyDescent="0.2">
      <c r="A80" s="291">
        <v>16</v>
      </c>
      <c r="B80" s="299" t="s">
        <v>527</v>
      </c>
      <c r="C80" s="285" t="s">
        <v>9</v>
      </c>
      <c r="D80" s="313">
        <f>64.5</f>
        <v>64.5</v>
      </c>
      <c r="E80" s="288"/>
      <c r="F80" s="288">
        <f t="shared" si="3"/>
        <v>0</v>
      </c>
      <c r="G80" s="289"/>
    </row>
    <row r="81" spans="1:7" s="290" customFormat="1" ht="24" x14ac:dyDescent="0.2">
      <c r="A81" s="291">
        <v>17</v>
      </c>
      <c r="B81" s="286" t="s">
        <v>528</v>
      </c>
      <c r="C81" s="285" t="s">
        <v>9</v>
      </c>
      <c r="D81" s="313">
        <v>45.4</v>
      </c>
      <c r="E81" s="288"/>
      <c r="F81" s="288">
        <f t="shared" si="3"/>
        <v>0</v>
      </c>
      <c r="G81" s="289"/>
    </row>
    <row r="82" spans="1:7" s="290" customFormat="1" ht="24" x14ac:dyDescent="0.2">
      <c r="A82" s="291">
        <v>18</v>
      </c>
      <c r="B82" s="286" t="s">
        <v>529</v>
      </c>
      <c r="C82" s="285" t="s">
        <v>39</v>
      </c>
      <c r="D82" s="313">
        <v>724</v>
      </c>
      <c r="E82" s="288"/>
      <c r="F82" s="288">
        <f t="shared" si="3"/>
        <v>0</v>
      </c>
      <c r="G82" s="289"/>
    </row>
    <row r="83" spans="1:7" s="290" customFormat="1" ht="12.75" x14ac:dyDescent="0.2">
      <c r="A83" s="308"/>
      <c r="B83" s="309" t="s">
        <v>530</v>
      </c>
      <c r="C83" s="309"/>
      <c r="D83" s="334"/>
      <c r="E83" s="309"/>
      <c r="F83" s="309"/>
      <c r="G83" s="312"/>
    </row>
    <row r="84" spans="1:7" s="290" customFormat="1" ht="12.75" customHeight="1" x14ac:dyDescent="0.2">
      <c r="A84" s="285">
        <v>19</v>
      </c>
      <c r="B84" s="286" t="s">
        <v>531</v>
      </c>
      <c r="C84" s="285" t="s">
        <v>9</v>
      </c>
      <c r="D84" s="313">
        <f>D91+D94+D95+D96+D97</f>
        <v>3094.65</v>
      </c>
      <c r="E84" s="285"/>
      <c r="F84" s="288">
        <f t="shared" si="3"/>
        <v>0</v>
      </c>
      <c r="G84" s="289"/>
    </row>
    <row r="85" spans="1:7" s="290" customFormat="1" ht="12.75" customHeight="1" x14ac:dyDescent="0.2">
      <c r="A85" s="285">
        <v>20</v>
      </c>
      <c r="B85" s="286" t="s">
        <v>532</v>
      </c>
      <c r="C85" s="285" t="s">
        <v>9</v>
      </c>
      <c r="D85" s="313">
        <f>D84</f>
        <v>3094.65</v>
      </c>
      <c r="E85" s="285"/>
      <c r="F85" s="288">
        <f t="shared" si="3"/>
        <v>0</v>
      </c>
      <c r="G85" s="289"/>
    </row>
    <row r="86" spans="1:7" s="290" customFormat="1" ht="12.75" customHeight="1" x14ac:dyDescent="0.2">
      <c r="A86" s="285">
        <v>21</v>
      </c>
      <c r="B86" s="286" t="s">
        <v>533</v>
      </c>
      <c r="C86" s="285" t="s">
        <v>9</v>
      </c>
      <c r="D86" s="313">
        <f>225.6+D94</f>
        <v>304.3</v>
      </c>
      <c r="E86" s="285"/>
      <c r="F86" s="288">
        <f t="shared" si="3"/>
        <v>0</v>
      </c>
      <c r="G86" s="289"/>
    </row>
    <row r="87" spans="1:7" s="290" customFormat="1" ht="12.75" customHeight="1" x14ac:dyDescent="0.2">
      <c r="A87" s="285">
        <v>22</v>
      </c>
      <c r="B87" s="286" t="s">
        <v>534</v>
      </c>
      <c r="C87" s="285" t="s">
        <v>39</v>
      </c>
      <c r="D87" s="313">
        <f>362.7+90.1+367.3</f>
        <v>820.09999999999991</v>
      </c>
      <c r="E87" s="285"/>
      <c r="F87" s="288">
        <f t="shared" si="3"/>
        <v>0</v>
      </c>
      <c r="G87" s="289"/>
    </row>
    <row r="88" spans="1:7" s="290" customFormat="1" ht="12.75" customHeight="1" x14ac:dyDescent="0.2">
      <c r="A88" s="285">
        <v>23</v>
      </c>
      <c r="B88" s="286" t="s">
        <v>535</v>
      </c>
      <c r="C88" s="285" t="s">
        <v>9</v>
      </c>
      <c r="D88" s="313">
        <f>117.9+206.9</f>
        <v>324.8</v>
      </c>
      <c r="E88" s="285"/>
      <c r="F88" s="288">
        <f t="shared" si="3"/>
        <v>0</v>
      </c>
      <c r="G88" s="289"/>
    </row>
    <row r="89" spans="1:7" s="290" customFormat="1" ht="12.75" customHeight="1" x14ac:dyDescent="0.2">
      <c r="A89" s="285">
        <v>24</v>
      </c>
      <c r="B89" s="286" t="s">
        <v>536</v>
      </c>
      <c r="C89" s="285" t="s">
        <v>39</v>
      </c>
      <c r="D89" s="313">
        <v>142</v>
      </c>
      <c r="E89" s="285"/>
      <c r="F89" s="288">
        <f>+ROUND(D89*E89,0)</f>
        <v>0</v>
      </c>
      <c r="G89" s="289"/>
    </row>
    <row r="90" spans="1:7" s="290" customFormat="1" ht="12.75" customHeight="1" x14ac:dyDescent="0.2">
      <c r="A90" s="291">
        <v>25</v>
      </c>
      <c r="B90" s="286" t="s">
        <v>537</v>
      </c>
      <c r="C90" s="285" t="s">
        <v>39</v>
      </c>
      <c r="D90" s="313">
        <f>65.4+12.9+200.3+103.4</f>
        <v>382</v>
      </c>
      <c r="E90" s="285"/>
      <c r="F90" s="288">
        <f>+ROUND(D90*E90,0)</f>
        <v>0</v>
      </c>
      <c r="G90" s="289"/>
    </row>
    <row r="91" spans="1:7" s="290" customFormat="1" ht="22.5" customHeight="1" x14ac:dyDescent="0.2">
      <c r="A91" s="291">
        <v>26</v>
      </c>
      <c r="B91" s="314" t="s">
        <v>538</v>
      </c>
      <c r="C91" s="285" t="s">
        <v>9</v>
      </c>
      <c r="D91" s="313">
        <f>225.6+227.65</f>
        <v>453.25</v>
      </c>
      <c r="E91" s="285"/>
      <c r="F91" s="288">
        <f t="shared" si="3"/>
        <v>0</v>
      </c>
      <c r="G91" s="289"/>
    </row>
    <row r="92" spans="1:7" s="290" customFormat="1" ht="24" x14ac:dyDescent="0.2">
      <c r="A92" s="291">
        <v>27</v>
      </c>
      <c r="B92" s="286" t="s">
        <v>539</v>
      </c>
      <c r="C92" s="285" t="s">
        <v>39</v>
      </c>
      <c r="D92" s="313">
        <v>160</v>
      </c>
      <c r="E92" s="285"/>
      <c r="F92" s="288">
        <f t="shared" si="3"/>
        <v>0</v>
      </c>
      <c r="G92" s="289"/>
    </row>
    <row r="93" spans="1:7" s="290" customFormat="1" ht="12.75" x14ac:dyDescent="0.2">
      <c r="A93" s="289">
        <v>28</v>
      </c>
      <c r="B93" s="286" t="s">
        <v>540</v>
      </c>
      <c r="C93" s="285" t="s">
        <v>9</v>
      </c>
      <c r="D93" s="313">
        <v>10</v>
      </c>
      <c r="E93" s="285"/>
      <c r="F93" s="288">
        <f t="shared" si="3"/>
        <v>0</v>
      </c>
      <c r="G93" s="289"/>
    </row>
    <row r="94" spans="1:7" s="290" customFormat="1" ht="12.75" x14ac:dyDescent="0.2">
      <c r="A94" s="289">
        <v>29</v>
      </c>
      <c r="B94" s="286" t="s">
        <v>541</v>
      </c>
      <c r="C94" s="285" t="s">
        <v>9</v>
      </c>
      <c r="D94" s="313">
        <f>16.4+44.1+18.2</f>
        <v>78.7</v>
      </c>
      <c r="E94" s="285"/>
      <c r="F94" s="288">
        <f t="shared" si="3"/>
        <v>0</v>
      </c>
      <c r="G94" s="289"/>
    </row>
    <row r="95" spans="1:7" s="290" customFormat="1" ht="12.75" x14ac:dyDescent="0.2">
      <c r="A95" s="289">
        <v>30</v>
      </c>
      <c r="B95" s="286" t="s">
        <v>542</v>
      </c>
      <c r="C95" s="285" t="s">
        <v>9</v>
      </c>
      <c r="D95" s="313">
        <v>234.5</v>
      </c>
      <c r="E95" s="285"/>
      <c r="F95" s="288">
        <f>+ROUND(D95*E95,0)</f>
        <v>0</v>
      </c>
      <c r="G95" s="289"/>
    </row>
    <row r="96" spans="1:7" s="290" customFormat="1" ht="48" x14ac:dyDescent="0.2">
      <c r="A96" s="289">
        <v>31</v>
      </c>
      <c r="B96" s="286" t="s">
        <v>543</v>
      </c>
      <c r="C96" s="285" t="s">
        <v>9</v>
      </c>
      <c r="D96" s="313">
        <f>99.9+7.3+447.7+332.1</f>
        <v>887</v>
      </c>
      <c r="E96" s="285"/>
      <c r="F96" s="288">
        <f t="shared" si="3"/>
        <v>0</v>
      </c>
      <c r="G96" s="289"/>
    </row>
    <row r="97" spans="1:7" s="290" customFormat="1" ht="12.75" x14ac:dyDescent="0.2">
      <c r="A97" s="289">
        <v>32</v>
      </c>
      <c r="B97" s="289" t="s">
        <v>544</v>
      </c>
      <c r="C97" s="289" t="s">
        <v>9</v>
      </c>
      <c r="D97" s="335">
        <f>807.9+546.9+86.4</f>
        <v>1441.2</v>
      </c>
      <c r="E97" s="289"/>
      <c r="F97" s="288">
        <f t="shared" si="3"/>
        <v>0</v>
      </c>
      <c r="G97" s="289"/>
    </row>
    <row r="98" spans="1:7" s="290" customFormat="1" ht="37.5" customHeight="1" x14ac:dyDescent="0.25">
      <c r="A98" s="293"/>
      <c r="B98" s="315" t="s">
        <v>545</v>
      </c>
      <c r="C98" s="316"/>
      <c r="D98" s="316"/>
      <c r="E98" s="316"/>
      <c r="F98" s="294"/>
      <c r="G98" s="296">
        <f>SUM(F99:F134)</f>
        <v>0</v>
      </c>
    </row>
    <row r="99" spans="1:7" s="290" customFormat="1" ht="12.75" customHeight="1" x14ac:dyDescent="0.2">
      <c r="A99" s="285">
        <v>1</v>
      </c>
      <c r="B99" s="285" t="s">
        <v>546</v>
      </c>
      <c r="C99" s="285" t="s">
        <v>9</v>
      </c>
      <c r="D99" s="287">
        <v>20</v>
      </c>
      <c r="E99" s="288"/>
      <c r="F99" s="288">
        <f t="shared" ref="F99:F146" si="4">+ROUND(D99*E99,0)</f>
        <v>0</v>
      </c>
      <c r="G99" s="289"/>
    </row>
    <row r="100" spans="1:7" s="290" customFormat="1" ht="24" x14ac:dyDescent="0.2">
      <c r="A100" s="291">
        <v>2</v>
      </c>
      <c r="B100" s="286" t="s">
        <v>547</v>
      </c>
      <c r="C100" s="285" t="s">
        <v>9</v>
      </c>
      <c r="D100" s="287">
        <f>394.9+543.9+590.7+794+14.1</f>
        <v>2337.6</v>
      </c>
      <c r="E100" s="288"/>
      <c r="F100" s="288">
        <f t="shared" si="4"/>
        <v>0</v>
      </c>
      <c r="G100" s="289"/>
    </row>
    <row r="101" spans="1:7" s="290" customFormat="1" ht="24.75" customHeight="1" x14ac:dyDescent="0.2">
      <c r="A101" s="291">
        <v>3</v>
      </c>
      <c r="B101" s="286" t="s">
        <v>548</v>
      </c>
      <c r="C101" s="285" t="s">
        <v>9</v>
      </c>
      <c r="D101" s="287">
        <f>0.4*0.7*4</f>
        <v>1.1199999999999999</v>
      </c>
      <c r="E101" s="288"/>
      <c r="F101" s="288">
        <f t="shared" si="4"/>
        <v>0</v>
      </c>
      <c r="G101" s="289"/>
    </row>
    <row r="102" spans="1:7" s="290" customFormat="1" ht="12.75" customHeight="1" x14ac:dyDescent="0.2">
      <c r="A102" s="285">
        <v>4</v>
      </c>
      <c r="B102" s="285" t="s">
        <v>549</v>
      </c>
      <c r="C102" s="285" t="s">
        <v>38</v>
      </c>
      <c r="D102" s="287">
        <v>3</v>
      </c>
      <c r="E102" s="288"/>
      <c r="F102" s="288">
        <f>+ROUND(D102*E102,0)</f>
        <v>0</v>
      </c>
      <c r="G102" s="289"/>
    </row>
    <row r="103" spans="1:7" s="290" customFormat="1" ht="12.75" customHeight="1" x14ac:dyDescent="0.2">
      <c r="A103" s="285">
        <v>5</v>
      </c>
      <c r="B103" s="285" t="s">
        <v>550</v>
      </c>
      <c r="C103" s="285" t="s">
        <v>38</v>
      </c>
      <c r="D103" s="287">
        <v>14</v>
      </c>
      <c r="E103" s="288"/>
      <c r="F103" s="288">
        <f t="shared" si="4"/>
        <v>0</v>
      </c>
      <c r="G103" s="289"/>
    </row>
    <row r="104" spans="1:7" s="290" customFormat="1" ht="12.75" customHeight="1" x14ac:dyDescent="0.2">
      <c r="A104" s="285">
        <v>6</v>
      </c>
      <c r="B104" s="285" t="s">
        <v>551</v>
      </c>
      <c r="C104" s="285" t="s">
        <v>38</v>
      </c>
      <c r="D104" s="287">
        <v>1</v>
      </c>
      <c r="E104" s="288"/>
      <c r="F104" s="288">
        <f>+ROUND(D104*E104,0)</f>
        <v>0</v>
      </c>
      <c r="G104" s="289"/>
    </row>
    <row r="105" spans="1:7" s="290" customFormat="1" ht="12.75" customHeight="1" x14ac:dyDescent="0.2">
      <c r="A105" s="285">
        <v>7</v>
      </c>
      <c r="B105" s="285" t="s">
        <v>552</v>
      </c>
      <c r="C105" s="285" t="s">
        <v>38</v>
      </c>
      <c r="D105" s="287">
        <v>13</v>
      </c>
      <c r="E105" s="288"/>
      <c r="F105" s="288">
        <f t="shared" si="4"/>
        <v>0</v>
      </c>
      <c r="G105" s="289"/>
    </row>
    <row r="106" spans="1:7" s="290" customFormat="1" ht="12.75" customHeight="1" x14ac:dyDescent="0.2">
      <c r="A106" s="285">
        <v>8</v>
      </c>
      <c r="B106" s="285" t="s">
        <v>553</v>
      </c>
      <c r="C106" s="285" t="s">
        <v>38</v>
      </c>
      <c r="D106" s="287">
        <v>1</v>
      </c>
      <c r="E106" s="288"/>
      <c r="F106" s="288">
        <f>+ROUND(D106*E106,0)</f>
        <v>0</v>
      </c>
      <c r="G106" s="289"/>
    </row>
    <row r="107" spans="1:7" s="290" customFormat="1" ht="12.75" customHeight="1" x14ac:dyDescent="0.2">
      <c r="A107" s="285">
        <v>9</v>
      </c>
      <c r="B107" s="286" t="s">
        <v>554</v>
      </c>
      <c r="C107" s="285" t="s">
        <v>38</v>
      </c>
      <c r="D107" s="287">
        <v>13</v>
      </c>
      <c r="E107" s="288"/>
      <c r="F107" s="288">
        <f>+ROUND(D107*E107,0)</f>
        <v>0</v>
      </c>
      <c r="G107" s="289"/>
    </row>
    <row r="108" spans="1:7" s="290" customFormat="1" ht="12.75" customHeight="1" x14ac:dyDescent="0.2">
      <c r="A108" s="285">
        <v>10</v>
      </c>
      <c r="B108" s="286" t="s">
        <v>555</v>
      </c>
      <c r="C108" s="285" t="s">
        <v>38</v>
      </c>
      <c r="D108" s="287">
        <v>2</v>
      </c>
      <c r="E108" s="288"/>
      <c r="F108" s="288">
        <f>+ROUND(D108*E108,0)</f>
        <v>0</v>
      </c>
      <c r="G108" s="289"/>
    </row>
    <row r="109" spans="1:7" s="290" customFormat="1" ht="45" customHeight="1" x14ac:dyDescent="0.2">
      <c r="A109" s="291">
        <v>11</v>
      </c>
      <c r="B109" s="299" t="s">
        <v>556</v>
      </c>
      <c r="C109" s="285" t="s">
        <v>9</v>
      </c>
      <c r="D109" s="287">
        <f>1.5*2.65</f>
        <v>3.9749999999999996</v>
      </c>
      <c r="E109" s="288"/>
      <c r="F109" s="288">
        <f t="shared" si="4"/>
        <v>0</v>
      </c>
      <c r="G109" s="289"/>
    </row>
    <row r="110" spans="1:7" s="290" customFormat="1" ht="45.75" customHeight="1" x14ac:dyDescent="0.2">
      <c r="A110" s="291">
        <v>12</v>
      </c>
      <c r="B110" s="299" t="s">
        <v>557</v>
      </c>
      <c r="C110" s="285" t="s">
        <v>9</v>
      </c>
      <c r="D110" s="287">
        <f>1.8*2.65*2</f>
        <v>9.5399999999999991</v>
      </c>
      <c r="E110" s="288"/>
      <c r="F110" s="288">
        <f t="shared" si="4"/>
        <v>0</v>
      </c>
      <c r="G110" s="289"/>
    </row>
    <row r="111" spans="1:7" s="290" customFormat="1" ht="56.25" x14ac:dyDescent="0.2">
      <c r="A111" s="291">
        <v>13</v>
      </c>
      <c r="B111" s="299" t="s">
        <v>558</v>
      </c>
      <c r="C111" s="285" t="s">
        <v>9</v>
      </c>
      <c r="D111" s="287">
        <f>2.5*2.65*3</f>
        <v>19.875</v>
      </c>
      <c r="E111" s="288"/>
      <c r="F111" s="288">
        <f t="shared" si="4"/>
        <v>0</v>
      </c>
      <c r="G111" s="289"/>
    </row>
    <row r="112" spans="1:7" s="290" customFormat="1" ht="56.25" x14ac:dyDescent="0.2">
      <c r="A112" s="291">
        <v>14</v>
      </c>
      <c r="B112" s="299" t="s">
        <v>559</v>
      </c>
      <c r="C112" s="285" t="s">
        <v>9</v>
      </c>
      <c r="D112" s="287">
        <f>3.6*2.65</f>
        <v>9.5399999999999991</v>
      </c>
      <c r="E112" s="288"/>
      <c r="F112" s="288">
        <f t="shared" si="4"/>
        <v>0</v>
      </c>
      <c r="G112" s="289"/>
    </row>
    <row r="113" spans="1:7" s="290" customFormat="1" ht="45" x14ac:dyDescent="0.2">
      <c r="A113" s="291">
        <v>15</v>
      </c>
      <c r="B113" s="299" t="s">
        <v>560</v>
      </c>
      <c r="C113" s="285" t="s">
        <v>9</v>
      </c>
      <c r="D113" s="287">
        <f>1.5*2.15*14</f>
        <v>45.149999999999991</v>
      </c>
      <c r="E113" s="288"/>
      <c r="F113" s="288">
        <f t="shared" si="4"/>
        <v>0</v>
      </c>
      <c r="G113" s="289"/>
    </row>
    <row r="114" spans="1:7" s="290" customFormat="1" ht="45" x14ac:dyDescent="0.2">
      <c r="A114" s="291">
        <v>16</v>
      </c>
      <c r="B114" s="299" t="s">
        <v>561</v>
      </c>
      <c r="C114" s="285" t="s">
        <v>9</v>
      </c>
      <c r="D114" s="287">
        <v>0.78</v>
      </c>
      <c r="E114" s="288"/>
      <c r="F114" s="288">
        <f t="shared" si="4"/>
        <v>0</v>
      </c>
      <c r="G114" s="289"/>
    </row>
    <row r="115" spans="1:7" s="290" customFormat="1" ht="45" x14ac:dyDescent="0.2">
      <c r="A115" s="291">
        <v>17</v>
      </c>
      <c r="B115" s="299" t="s">
        <v>562</v>
      </c>
      <c r="C115" s="285" t="s">
        <v>9</v>
      </c>
      <c r="D115" s="287">
        <f>1.8*0.65*21</f>
        <v>24.570000000000004</v>
      </c>
      <c r="E115" s="288"/>
      <c r="F115" s="288">
        <f t="shared" si="4"/>
        <v>0</v>
      </c>
      <c r="G115" s="289"/>
    </row>
    <row r="116" spans="1:7" s="290" customFormat="1" ht="45" x14ac:dyDescent="0.2">
      <c r="A116" s="291">
        <v>18</v>
      </c>
      <c r="B116" s="299" t="s">
        <v>563</v>
      </c>
      <c r="C116" s="285" t="s">
        <v>9</v>
      </c>
      <c r="D116" s="287">
        <f>1.4*61</f>
        <v>85.399999999999991</v>
      </c>
      <c r="E116" s="288"/>
      <c r="F116" s="288">
        <f t="shared" si="4"/>
        <v>0</v>
      </c>
      <c r="G116" s="289"/>
    </row>
    <row r="117" spans="1:7" s="290" customFormat="1" ht="45" x14ac:dyDescent="0.2">
      <c r="A117" s="291">
        <v>19</v>
      </c>
      <c r="B117" s="299" t="s">
        <v>564</v>
      </c>
      <c r="C117" s="285" t="s">
        <v>9</v>
      </c>
      <c r="D117" s="287">
        <f>1.95*25</f>
        <v>48.75</v>
      </c>
      <c r="E117" s="288"/>
      <c r="F117" s="288">
        <f t="shared" si="4"/>
        <v>0</v>
      </c>
      <c r="G117" s="289"/>
    </row>
    <row r="118" spans="1:7" s="290" customFormat="1" ht="45" x14ac:dyDescent="0.2">
      <c r="A118" s="291">
        <v>20</v>
      </c>
      <c r="B118" s="299" t="s">
        <v>565</v>
      </c>
      <c r="C118" s="285" t="s">
        <v>9</v>
      </c>
      <c r="D118" s="287">
        <v>1.5</v>
      </c>
      <c r="E118" s="288"/>
      <c r="F118" s="288">
        <f t="shared" si="4"/>
        <v>0</v>
      </c>
      <c r="G118" s="289"/>
    </row>
    <row r="119" spans="1:7" s="290" customFormat="1" ht="33.75" x14ac:dyDescent="0.2">
      <c r="A119" s="291">
        <v>21</v>
      </c>
      <c r="B119" s="299" t="s">
        <v>566</v>
      </c>
      <c r="C119" s="285" t="s">
        <v>9</v>
      </c>
      <c r="D119" s="287">
        <f>0.43*16</f>
        <v>6.88</v>
      </c>
      <c r="E119" s="288"/>
      <c r="F119" s="288">
        <f t="shared" si="4"/>
        <v>0</v>
      </c>
      <c r="G119" s="289"/>
    </row>
    <row r="120" spans="1:7" s="290" customFormat="1" ht="33.75" x14ac:dyDescent="0.2">
      <c r="A120" s="291">
        <v>22</v>
      </c>
      <c r="B120" s="299" t="s">
        <v>567</v>
      </c>
      <c r="C120" s="285" t="s">
        <v>9</v>
      </c>
      <c r="D120" s="287">
        <f>0.1*3</f>
        <v>0.30000000000000004</v>
      </c>
      <c r="E120" s="288"/>
      <c r="F120" s="288">
        <f t="shared" si="4"/>
        <v>0</v>
      </c>
      <c r="G120" s="289"/>
    </row>
    <row r="121" spans="1:7" s="290" customFormat="1" ht="12.75" customHeight="1" x14ac:dyDescent="0.2">
      <c r="A121" s="285">
        <v>23</v>
      </c>
      <c r="B121" s="285" t="s">
        <v>568</v>
      </c>
      <c r="C121" s="285" t="s">
        <v>9</v>
      </c>
      <c r="D121" s="287">
        <f>0.5*0.7*22+2*1.5*3+3*2</f>
        <v>22.7</v>
      </c>
      <c r="E121" s="288"/>
      <c r="F121" s="288">
        <f t="shared" si="4"/>
        <v>0</v>
      </c>
      <c r="G121" s="289"/>
    </row>
    <row r="122" spans="1:7" s="290" customFormat="1" ht="48" x14ac:dyDescent="0.2">
      <c r="A122" s="291">
        <v>24</v>
      </c>
      <c r="B122" s="286" t="s">
        <v>569</v>
      </c>
      <c r="C122" s="285" t="s">
        <v>9</v>
      </c>
      <c r="D122" s="287">
        <f>(1.3*2+1+1.15+1.8+0.8)*0.6</f>
        <v>4.4099999999999993</v>
      </c>
      <c r="E122" s="288"/>
      <c r="F122" s="288">
        <f t="shared" si="4"/>
        <v>0</v>
      </c>
      <c r="G122" s="289"/>
    </row>
    <row r="123" spans="1:7" s="290" customFormat="1" ht="48" x14ac:dyDescent="0.2">
      <c r="A123" s="285">
        <v>25</v>
      </c>
      <c r="B123" s="286" t="s">
        <v>570</v>
      </c>
      <c r="C123" s="285" t="s">
        <v>9</v>
      </c>
      <c r="D123" s="287">
        <f>(4.4+5.7+1.8+3.5*3+4+3.6+4)*0.6</f>
        <v>20.399999999999999</v>
      </c>
      <c r="E123" s="288"/>
      <c r="F123" s="288">
        <f t="shared" si="4"/>
        <v>0</v>
      </c>
      <c r="G123" s="289"/>
    </row>
    <row r="124" spans="1:7" s="290" customFormat="1" ht="12.75" customHeight="1" x14ac:dyDescent="0.2">
      <c r="A124" s="285">
        <v>26</v>
      </c>
      <c r="B124" s="286" t="s">
        <v>571</v>
      </c>
      <c r="C124" s="285" t="s">
        <v>38</v>
      </c>
      <c r="D124" s="287">
        <v>2</v>
      </c>
      <c r="E124" s="288"/>
      <c r="F124" s="288">
        <f t="shared" si="4"/>
        <v>0</v>
      </c>
      <c r="G124" s="289"/>
    </row>
    <row r="125" spans="1:7" s="290" customFormat="1" ht="26.25" customHeight="1" x14ac:dyDescent="0.2">
      <c r="A125" s="285">
        <v>27</v>
      </c>
      <c r="B125" s="286" t="s">
        <v>572</v>
      </c>
      <c r="C125" s="285" t="s">
        <v>38</v>
      </c>
      <c r="D125" s="287">
        <v>1</v>
      </c>
      <c r="E125" s="288"/>
      <c r="F125" s="288">
        <f>+ROUND(D125*E125,0)</f>
        <v>0</v>
      </c>
      <c r="G125" s="289"/>
    </row>
    <row r="126" spans="1:7" s="290" customFormat="1" ht="12.75" customHeight="1" x14ac:dyDescent="0.2">
      <c r="A126" s="285">
        <v>28</v>
      </c>
      <c r="B126" s="286" t="s">
        <v>573</v>
      </c>
      <c r="C126" s="285" t="s">
        <v>38</v>
      </c>
      <c r="D126" s="287">
        <v>3</v>
      </c>
      <c r="E126" s="288"/>
      <c r="F126" s="288">
        <f>+ROUND(D126*E126,0)</f>
        <v>0</v>
      </c>
      <c r="G126" s="289"/>
    </row>
    <row r="127" spans="1:7" s="290" customFormat="1" ht="12.75" customHeight="1" x14ac:dyDescent="0.2">
      <c r="A127" s="285">
        <v>29</v>
      </c>
      <c r="B127" s="299" t="s">
        <v>574</v>
      </c>
      <c r="C127" s="285" t="s">
        <v>38</v>
      </c>
      <c r="D127" s="287">
        <v>1</v>
      </c>
      <c r="E127" s="288"/>
      <c r="F127" s="288">
        <f>+ROUND(D127*E127,0)</f>
        <v>0</v>
      </c>
      <c r="G127" s="289"/>
    </row>
    <row r="128" spans="1:7" s="290" customFormat="1" ht="22.5" x14ac:dyDescent="0.2">
      <c r="A128" s="285">
        <v>30</v>
      </c>
      <c r="B128" s="299" t="s">
        <v>575</v>
      </c>
      <c r="C128" s="285" t="s">
        <v>9</v>
      </c>
      <c r="D128" s="287">
        <v>66.900000000000006</v>
      </c>
      <c r="E128" s="288"/>
      <c r="F128" s="288">
        <f>+ROUND(D128*E128,0)</f>
        <v>0</v>
      </c>
      <c r="G128" s="289"/>
    </row>
    <row r="129" spans="1:7" s="290" customFormat="1" ht="12.75" customHeight="1" x14ac:dyDescent="0.2">
      <c r="A129" s="285">
        <v>31</v>
      </c>
      <c r="B129" s="285" t="s">
        <v>576</v>
      </c>
      <c r="C129" s="285" t="s">
        <v>39</v>
      </c>
      <c r="D129" s="287">
        <v>41.2</v>
      </c>
      <c r="E129" s="288"/>
      <c r="F129" s="288">
        <f t="shared" si="4"/>
        <v>0</v>
      </c>
      <c r="G129" s="289"/>
    </row>
    <row r="130" spans="1:7" s="290" customFormat="1" ht="12.75" customHeight="1" x14ac:dyDescent="0.2">
      <c r="A130" s="285">
        <v>32</v>
      </c>
      <c r="B130" s="285" t="s">
        <v>577</v>
      </c>
      <c r="C130" s="285" t="s">
        <v>39</v>
      </c>
      <c r="D130" s="287">
        <f>3.7+2.7*2*5</f>
        <v>30.7</v>
      </c>
      <c r="E130" s="288"/>
      <c r="F130" s="288">
        <f t="shared" si="4"/>
        <v>0</v>
      </c>
      <c r="G130" s="289"/>
    </row>
    <row r="131" spans="1:7" s="290" customFormat="1" ht="12.75" customHeight="1" x14ac:dyDescent="0.2">
      <c r="A131" s="285">
        <v>33</v>
      </c>
      <c r="B131" s="286" t="s">
        <v>578</v>
      </c>
      <c r="C131" s="285" t="s">
        <v>39</v>
      </c>
      <c r="D131" s="287">
        <v>5</v>
      </c>
      <c r="E131" s="288"/>
      <c r="F131" s="288">
        <f>+ROUND(D131*E131,0)</f>
        <v>0</v>
      </c>
      <c r="G131" s="289"/>
    </row>
    <row r="132" spans="1:7" s="290" customFormat="1" ht="12.75" customHeight="1" x14ac:dyDescent="0.2">
      <c r="A132" s="291">
        <v>34</v>
      </c>
      <c r="B132" s="299" t="s">
        <v>579</v>
      </c>
      <c r="C132" s="285" t="s">
        <v>38</v>
      </c>
      <c r="D132" s="287">
        <v>1</v>
      </c>
      <c r="E132" s="288"/>
      <c r="F132" s="288">
        <f t="shared" si="4"/>
        <v>0</v>
      </c>
      <c r="G132" s="289"/>
    </row>
    <row r="133" spans="1:7" s="290" customFormat="1" ht="24" x14ac:dyDescent="0.2">
      <c r="A133" s="291">
        <v>35</v>
      </c>
      <c r="B133" s="286" t="s">
        <v>580</v>
      </c>
      <c r="C133" s="285" t="s">
        <v>38</v>
      </c>
      <c r="D133" s="287">
        <v>23</v>
      </c>
      <c r="E133" s="288"/>
      <c r="F133" s="288">
        <f t="shared" si="4"/>
        <v>0</v>
      </c>
      <c r="G133" s="289"/>
    </row>
    <row r="134" spans="1:7" s="290" customFormat="1" ht="24" x14ac:dyDescent="0.2">
      <c r="A134" s="291">
        <v>36</v>
      </c>
      <c r="B134" s="286" t="s">
        <v>581</v>
      </c>
      <c r="C134" s="285" t="s">
        <v>38</v>
      </c>
      <c r="D134" s="287">
        <f>54*0.8</f>
        <v>43.2</v>
      </c>
      <c r="E134" s="288"/>
      <c r="F134" s="288">
        <f t="shared" si="4"/>
        <v>0</v>
      </c>
      <c r="G134" s="289"/>
    </row>
    <row r="135" spans="1:7" s="290" customFormat="1" ht="24" x14ac:dyDescent="0.2">
      <c r="A135" s="291">
        <v>37</v>
      </c>
      <c r="B135" s="286" t="s">
        <v>582</v>
      </c>
      <c r="C135" s="285" t="s">
        <v>39</v>
      </c>
      <c r="D135" s="287">
        <v>724</v>
      </c>
      <c r="E135" s="288"/>
      <c r="F135" s="288">
        <f t="shared" si="4"/>
        <v>0</v>
      </c>
      <c r="G135" s="289"/>
    </row>
    <row r="136" spans="1:7" s="290" customFormat="1" ht="12.75" x14ac:dyDescent="0.2">
      <c r="A136" s="291">
        <v>38</v>
      </c>
      <c r="B136" s="286" t="s">
        <v>583</v>
      </c>
      <c r="C136" s="285" t="s">
        <v>39</v>
      </c>
      <c r="D136" s="287">
        <v>92</v>
      </c>
      <c r="E136" s="288"/>
      <c r="F136" s="288">
        <f t="shared" si="4"/>
        <v>0</v>
      </c>
      <c r="G136" s="289"/>
    </row>
    <row r="137" spans="1:7" s="290" customFormat="1" x14ac:dyDescent="0.25">
      <c r="A137" s="293"/>
      <c r="B137" s="294" t="s">
        <v>584</v>
      </c>
      <c r="C137" s="294"/>
      <c r="D137" s="295"/>
      <c r="E137" s="298"/>
      <c r="F137" s="298"/>
      <c r="G137" s="300">
        <f>SUM(F138:F145)</f>
        <v>0</v>
      </c>
    </row>
    <row r="138" spans="1:7" s="290" customFormat="1" ht="12.75" customHeight="1" x14ac:dyDescent="0.2">
      <c r="A138" s="289">
        <v>1</v>
      </c>
      <c r="B138" s="289" t="s">
        <v>585</v>
      </c>
      <c r="C138" s="289" t="s">
        <v>9</v>
      </c>
      <c r="D138" s="317">
        <f>D75+D74</f>
        <v>2848.1475</v>
      </c>
      <c r="E138" s="297"/>
      <c r="F138" s="297">
        <f t="shared" si="4"/>
        <v>0</v>
      </c>
      <c r="G138" s="289"/>
    </row>
    <row r="139" spans="1:7" s="290" customFormat="1" ht="12.75" customHeight="1" x14ac:dyDescent="0.2">
      <c r="A139" s="289">
        <v>2</v>
      </c>
      <c r="B139" s="289" t="s">
        <v>586</v>
      </c>
      <c r="C139" s="289" t="s">
        <v>9</v>
      </c>
      <c r="D139" s="317">
        <f>D76</f>
        <v>8107.4049999999988</v>
      </c>
      <c r="E139" s="297"/>
      <c r="F139" s="297">
        <f t="shared" si="4"/>
        <v>0</v>
      </c>
      <c r="G139" s="289"/>
    </row>
    <row r="140" spans="1:7" s="290" customFormat="1" ht="12.75" customHeight="1" x14ac:dyDescent="0.2">
      <c r="A140" s="289">
        <v>3</v>
      </c>
      <c r="B140" s="289" t="s">
        <v>587</v>
      </c>
      <c r="C140" s="289" t="s">
        <v>9</v>
      </c>
      <c r="D140" s="317">
        <f>D144</f>
        <v>2357.6</v>
      </c>
      <c r="E140" s="297"/>
      <c r="F140" s="297">
        <f t="shared" si="4"/>
        <v>0</v>
      </c>
      <c r="G140" s="289"/>
    </row>
    <row r="141" spans="1:7" s="290" customFormat="1" ht="24.75" customHeight="1" x14ac:dyDescent="0.2">
      <c r="A141" s="318">
        <v>4</v>
      </c>
      <c r="B141" s="304" t="s">
        <v>588</v>
      </c>
      <c r="C141" s="289" t="s">
        <v>9</v>
      </c>
      <c r="D141" s="317">
        <f>D138</f>
        <v>2848.1475</v>
      </c>
      <c r="E141" s="297"/>
      <c r="F141" s="297">
        <f t="shared" si="4"/>
        <v>0</v>
      </c>
      <c r="G141" s="289"/>
    </row>
    <row r="142" spans="1:7" s="290" customFormat="1" ht="24.75" customHeight="1" x14ac:dyDescent="0.2">
      <c r="A142" s="318">
        <v>5</v>
      </c>
      <c r="B142" s="304" t="s">
        <v>589</v>
      </c>
      <c r="C142" s="289" t="s">
        <v>9</v>
      </c>
      <c r="D142" s="317">
        <f>D139</f>
        <v>8107.4049999999988</v>
      </c>
      <c r="E142" s="297"/>
      <c r="F142" s="297">
        <f t="shared" si="4"/>
        <v>0</v>
      </c>
      <c r="G142" s="289"/>
    </row>
    <row r="143" spans="1:7" s="290" customFormat="1" ht="15.75" customHeight="1" x14ac:dyDescent="0.2">
      <c r="A143" s="289">
        <v>6</v>
      </c>
      <c r="B143" s="304" t="s">
        <v>590</v>
      </c>
      <c r="C143" s="289" t="s">
        <v>9</v>
      </c>
      <c r="D143" s="317">
        <f>D77</f>
        <v>156.86000000000001</v>
      </c>
      <c r="E143" s="297"/>
      <c r="F143" s="297">
        <f t="shared" si="4"/>
        <v>0</v>
      </c>
      <c r="G143" s="289"/>
    </row>
    <row r="144" spans="1:7" s="290" customFormat="1" ht="12.75" customHeight="1" x14ac:dyDescent="0.2">
      <c r="A144" s="289">
        <v>7</v>
      </c>
      <c r="B144" s="289" t="s">
        <v>591</v>
      </c>
      <c r="C144" s="289" t="s">
        <v>9</v>
      </c>
      <c r="D144" s="317">
        <f>14.1+394.9+543.9+590.7+794+20</f>
        <v>2357.6</v>
      </c>
      <c r="E144" s="297"/>
      <c r="F144" s="297">
        <f t="shared" si="4"/>
        <v>0</v>
      </c>
      <c r="G144" s="289"/>
    </row>
    <row r="145" spans="1:7" s="290" customFormat="1" ht="12.75" customHeight="1" x14ac:dyDescent="0.2">
      <c r="A145" s="289">
        <v>8</v>
      </c>
      <c r="B145" s="289" t="s">
        <v>592</v>
      </c>
      <c r="C145" s="289" t="s">
        <v>9</v>
      </c>
      <c r="D145" s="317">
        <f>181.4+43+(0.3*0.4*23)*2</f>
        <v>229.92000000000002</v>
      </c>
      <c r="E145" s="297"/>
      <c r="F145" s="297">
        <f t="shared" si="4"/>
        <v>0</v>
      </c>
      <c r="G145" s="289"/>
    </row>
    <row r="146" spans="1:7" s="290" customFormat="1" ht="12.75" customHeight="1" x14ac:dyDescent="0.2">
      <c r="A146" s="289">
        <v>9</v>
      </c>
      <c r="B146" s="289" t="s">
        <v>593</v>
      </c>
      <c r="C146" s="289" t="s">
        <v>9</v>
      </c>
      <c r="D146" s="317">
        <f>30.7*2+5*0.9+66.9*2+43.2*2</f>
        <v>286.10000000000002</v>
      </c>
      <c r="E146" s="297"/>
      <c r="F146" s="297">
        <f t="shared" si="4"/>
        <v>0</v>
      </c>
      <c r="G146" s="289"/>
    </row>
    <row r="147" spans="1:7" s="290" customFormat="1" ht="12.75" customHeight="1" x14ac:dyDescent="0.2">
      <c r="A147" s="308"/>
      <c r="B147" s="294" t="s">
        <v>594</v>
      </c>
      <c r="C147" s="309"/>
      <c r="D147" s="310"/>
      <c r="E147" s="311"/>
      <c r="F147" s="311"/>
      <c r="G147" s="312"/>
    </row>
    <row r="148" spans="1:7" s="290" customFormat="1" x14ac:dyDescent="0.25">
      <c r="A148" s="293"/>
      <c r="B148" s="294" t="s">
        <v>595</v>
      </c>
      <c r="C148" s="294"/>
      <c r="D148" s="295"/>
      <c r="E148" s="298"/>
      <c r="F148" s="298"/>
      <c r="G148" s="300">
        <f>SUM(F149:F153)</f>
        <v>0</v>
      </c>
    </row>
    <row r="149" spans="1:7" s="290" customFormat="1" ht="12.75" customHeight="1" x14ac:dyDescent="0.2">
      <c r="A149" s="289">
        <v>1</v>
      </c>
      <c r="B149" s="289" t="s">
        <v>596</v>
      </c>
      <c r="C149" s="289" t="s">
        <v>39</v>
      </c>
      <c r="D149" s="317"/>
      <c r="E149" s="297"/>
      <c r="F149" s="297">
        <f>+ROUND(D149*E149,0)</f>
        <v>0</v>
      </c>
      <c r="G149" s="289"/>
    </row>
    <row r="150" spans="1:7" s="290" customFormat="1" ht="12.75" customHeight="1" x14ac:dyDescent="0.2">
      <c r="A150" s="289">
        <v>2</v>
      </c>
      <c r="B150" s="289" t="s">
        <v>597</v>
      </c>
      <c r="C150" s="289" t="s">
        <v>39</v>
      </c>
      <c r="D150" s="317"/>
      <c r="E150" s="297"/>
      <c r="F150" s="297">
        <f>+ROUND(D150*E150,0)</f>
        <v>0</v>
      </c>
      <c r="G150" s="289"/>
    </row>
    <row r="151" spans="1:7" s="290" customFormat="1" ht="12.75" customHeight="1" x14ac:dyDescent="0.2">
      <c r="A151" s="289">
        <v>3</v>
      </c>
      <c r="B151" s="289" t="s">
        <v>598</v>
      </c>
      <c r="C151" s="289" t="s">
        <v>39</v>
      </c>
      <c r="D151" s="317"/>
      <c r="E151" s="297"/>
      <c r="F151" s="297">
        <f>+ROUND(D151*E151,0)</f>
        <v>0</v>
      </c>
      <c r="G151" s="289"/>
    </row>
    <row r="152" spans="1:7" s="290" customFormat="1" ht="12.75" customHeight="1" x14ac:dyDescent="0.2">
      <c r="A152" s="289">
        <v>4</v>
      </c>
      <c r="B152" s="289" t="s">
        <v>599</v>
      </c>
      <c r="C152" s="289" t="s">
        <v>38</v>
      </c>
      <c r="D152" s="317"/>
      <c r="E152" s="297"/>
      <c r="F152" s="297">
        <f>+ROUND(D152*E152,0)</f>
        <v>0</v>
      </c>
      <c r="G152" s="289"/>
    </row>
    <row r="153" spans="1:7" s="290" customFormat="1" ht="12.75" customHeight="1" x14ac:dyDescent="0.2">
      <c r="A153" s="289">
        <v>5</v>
      </c>
      <c r="B153" s="289" t="s">
        <v>600</v>
      </c>
      <c r="C153" s="289" t="s">
        <v>38</v>
      </c>
      <c r="D153" s="317"/>
      <c r="E153" s="297"/>
      <c r="F153" s="297">
        <f>+ROUND(D153*E153,0)</f>
        <v>0</v>
      </c>
      <c r="G153" s="289"/>
    </row>
    <row r="154" spans="1:7" s="290" customFormat="1" x14ac:dyDescent="0.25">
      <c r="A154" s="293"/>
      <c r="B154" s="294" t="s">
        <v>601</v>
      </c>
      <c r="C154" s="294"/>
      <c r="D154" s="295"/>
      <c r="E154" s="298"/>
      <c r="F154" s="298"/>
      <c r="G154" s="300">
        <f>SUM(F155:F169)</f>
        <v>0</v>
      </c>
    </row>
    <row r="155" spans="1:7" s="290" customFormat="1" ht="12.75" customHeight="1" x14ac:dyDescent="0.2">
      <c r="A155" s="285">
        <v>6</v>
      </c>
      <c r="B155" s="285" t="s">
        <v>602</v>
      </c>
      <c r="C155" s="285" t="s">
        <v>39</v>
      </c>
      <c r="D155" s="287"/>
      <c r="E155" s="288"/>
      <c r="F155" s="288">
        <f t="shared" ref="F155:F169" si="5">+ROUND(D155*E155,0)</f>
        <v>0</v>
      </c>
      <c r="G155" s="289"/>
    </row>
    <row r="156" spans="1:7" s="290" customFormat="1" ht="12.75" customHeight="1" x14ac:dyDescent="0.2">
      <c r="A156" s="285">
        <v>7</v>
      </c>
      <c r="B156" s="285" t="s">
        <v>603</v>
      </c>
      <c r="C156" s="285" t="s">
        <v>39</v>
      </c>
      <c r="D156" s="287"/>
      <c r="E156" s="288"/>
      <c r="F156" s="288">
        <f t="shared" si="5"/>
        <v>0</v>
      </c>
      <c r="G156" s="289"/>
    </row>
    <row r="157" spans="1:7" s="290" customFormat="1" ht="12.75" customHeight="1" x14ac:dyDescent="0.2">
      <c r="A157" s="285">
        <v>8</v>
      </c>
      <c r="B157" s="285" t="s">
        <v>604</v>
      </c>
      <c r="C157" s="285" t="s">
        <v>39</v>
      </c>
      <c r="D157" s="287"/>
      <c r="E157" s="288"/>
      <c r="F157" s="288">
        <f t="shared" si="5"/>
        <v>0</v>
      </c>
      <c r="G157" s="289"/>
    </row>
    <row r="158" spans="1:7" s="290" customFormat="1" ht="12.75" customHeight="1" x14ac:dyDescent="0.2">
      <c r="A158" s="285">
        <v>9</v>
      </c>
      <c r="B158" s="285" t="s">
        <v>605</v>
      </c>
      <c r="C158" s="285" t="s">
        <v>39</v>
      </c>
      <c r="D158" s="287"/>
      <c r="E158" s="288"/>
      <c r="F158" s="288">
        <f t="shared" si="5"/>
        <v>0</v>
      </c>
      <c r="G158" s="289"/>
    </row>
    <row r="159" spans="1:7" s="290" customFormat="1" ht="12.75" customHeight="1" x14ac:dyDescent="0.2">
      <c r="A159" s="285">
        <v>10</v>
      </c>
      <c r="B159" s="285" t="s">
        <v>606</v>
      </c>
      <c r="C159" s="285" t="s">
        <v>39</v>
      </c>
      <c r="D159" s="287"/>
      <c r="E159" s="288"/>
      <c r="F159" s="288">
        <f t="shared" si="5"/>
        <v>0</v>
      </c>
      <c r="G159" s="289"/>
    </row>
    <row r="160" spans="1:7" s="290" customFormat="1" ht="12.75" customHeight="1" x14ac:dyDescent="0.2">
      <c r="A160" s="285">
        <v>11</v>
      </c>
      <c r="B160" s="285" t="s">
        <v>607</v>
      </c>
      <c r="C160" s="285" t="s">
        <v>39</v>
      </c>
      <c r="D160" s="287"/>
      <c r="E160" s="288"/>
      <c r="F160" s="288">
        <f t="shared" si="5"/>
        <v>0</v>
      </c>
      <c r="G160" s="289"/>
    </row>
    <row r="161" spans="1:7" s="290" customFormat="1" ht="12.75" customHeight="1" x14ac:dyDescent="0.2">
      <c r="A161" s="285">
        <v>12</v>
      </c>
      <c r="B161" s="285" t="s">
        <v>608</v>
      </c>
      <c r="C161" s="285" t="s">
        <v>38</v>
      </c>
      <c r="D161" s="287"/>
      <c r="E161" s="288"/>
      <c r="F161" s="288">
        <f t="shared" si="5"/>
        <v>0</v>
      </c>
      <c r="G161" s="289"/>
    </row>
    <row r="162" spans="1:7" s="290" customFormat="1" ht="12.75" customHeight="1" x14ac:dyDescent="0.2">
      <c r="A162" s="285">
        <v>13</v>
      </c>
      <c r="B162" s="285" t="s">
        <v>609</v>
      </c>
      <c r="C162" s="285" t="s">
        <v>38</v>
      </c>
      <c r="D162" s="287"/>
      <c r="E162" s="288"/>
      <c r="F162" s="288">
        <f t="shared" si="5"/>
        <v>0</v>
      </c>
      <c r="G162" s="289"/>
    </row>
    <row r="163" spans="1:7" s="290" customFormat="1" ht="12.75" customHeight="1" x14ac:dyDescent="0.2">
      <c r="A163" s="285">
        <v>14</v>
      </c>
      <c r="B163" s="285" t="s">
        <v>610</v>
      </c>
      <c r="C163" s="285" t="s">
        <v>38</v>
      </c>
      <c r="D163" s="287"/>
      <c r="E163" s="288"/>
      <c r="F163" s="288">
        <f t="shared" si="5"/>
        <v>0</v>
      </c>
      <c r="G163" s="289"/>
    </row>
    <row r="164" spans="1:7" s="290" customFormat="1" ht="12.75" customHeight="1" x14ac:dyDescent="0.2">
      <c r="A164" s="285">
        <v>15</v>
      </c>
      <c r="B164" s="287" t="s">
        <v>611</v>
      </c>
      <c r="C164" s="287" t="s">
        <v>394</v>
      </c>
      <c r="D164" s="287"/>
      <c r="E164" s="288"/>
      <c r="F164" s="288">
        <f t="shared" si="5"/>
        <v>0</v>
      </c>
      <c r="G164" s="289"/>
    </row>
    <row r="165" spans="1:7" s="290" customFormat="1" ht="12.75" customHeight="1" x14ac:dyDescent="0.2">
      <c r="A165" s="285">
        <v>16</v>
      </c>
      <c r="B165" s="285" t="s">
        <v>612</v>
      </c>
      <c r="C165" s="285" t="s">
        <v>394</v>
      </c>
      <c r="D165" s="287"/>
      <c r="E165" s="288"/>
      <c r="F165" s="288">
        <f t="shared" si="5"/>
        <v>0</v>
      </c>
      <c r="G165" s="289"/>
    </row>
    <row r="166" spans="1:7" s="290" customFormat="1" ht="12.75" customHeight="1" x14ac:dyDescent="0.2">
      <c r="A166" s="285">
        <v>17</v>
      </c>
      <c r="B166" s="285" t="s">
        <v>613</v>
      </c>
      <c r="C166" s="285" t="s">
        <v>38</v>
      </c>
      <c r="D166" s="287"/>
      <c r="E166" s="288"/>
      <c r="F166" s="288">
        <f t="shared" si="5"/>
        <v>0</v>
      </c>
      <c r="G166" s="289"/>
    </row>
    <row r="167" spans="1:7" s="290" customFormat="1" ht="12.75" customHeight="1" x14ac:dyDescent="0.2">
      <c r="A167" s="285">
        <v>18</v>
      </c>
      <c r="B167" s="285" t="s">
        <v>614</v>
      </c>
      <c r="C167" s="285" t="s">
        <v>38</v>
      </c>
      <c r="D167" s="287"/>
      <c r="E167" s="288"/>
      <c r="F167" s="288">
        <f t="shared" si="5"/>
        <v>0</v>
      </c>
      <c r="G167" s="289"/>
    </row>
    <row r="168" spans="1:7" s="290" customFormat="1" ht="12.75" customHeight="1" x14ac:dyDescent="0.2">
      <c r="A168" s="285">
        <v>19</v>
      </c>
      <c r="B168" s="285" t="s">
        <v>615</v>
      </c>
      <c r="C168" s="285" t="s">
        <v>38</v>
      </c>
      <c r="D168" s="287"/>
      <c r="E168" s="288"/>
      <c r="F168" s="288">
        <f t="shared" si="5"/>
        <v>0</v>
      </c>
      <c r="G168" s="289"/>
    </row>
    <row r="169" spans="1:7" s="290" customFormat="1" ht="12.75" customHeight="1" x14ac:dyDescent="0.2">
      <c r="A169" s="285">
        <v>20</v>
      </c>
      <c r="B169" s="285" t="s">
        <v>616</v>
      </c>
      <c r="C169" s="285" t="s">
        <v>394</v>
      </c>
      <c r="D169" s="287"/>
      <c r="E169" s="288"/>
      <c r="F169" s="288">
        <f t="shared" si="5"/>
        <v>0</v>
      </c>
      <c r="G169" s="289"/>
    </row>
    <row r="170" spans="1:7" s="290" customFormat="1" x14ac:dyDescent="0.25">
      <c r="A170" s="293"/>
      <c r="B170" s="294" t="s">
        <v>617</v>
      </c>
      <c r="C170" s="294"/>
      <c r="D170" s="295"/>
      <c r="E170" s="298"/>
      <c r="F170" s="298"/>
      <c r="G170" s="319">
        <f>SUM(F173:F185)</f>
        <v>0</v>
      </c>
    </row>
    <row r="171" spans="1:7" s="290" customFormat="1" ht="12.75" x14ac:dyDescent="0.2">
      <c r="A171" s="308"/>
      <c r="B171" s="320" t="s">
        <v>618</v>
      </c>
      <c r="C171" s="309"/>
      <c r="D171" s="310"/>
      <c r="E171" s="311"/>
      <c r="F171" s="311"/>
      <c r="G171" s="312"/>
    </row>
    <row r="172" spans="1:7" s="290" customFormat="1" ht="12.75" x14ac:dyDescent="0.2">
      <c r="A172" s="289">
        <v>1</v>
      </c>
      <c r="B172" s="304" t="s">
        <v>619</v>
      </c>
      <c r="C172" s="289" t="s">
        <v>39</v>
      </c>
      <c r="D172" s="317">
        <v>33</v>
      </c>
      <c r="E172" s="297"/>
      <c r="F172" s="297">
        <f>+ROUND(D172*E172,0)</f>
        <v>0</v>
      </c>
      <c r="G172" s="321"/>
    </row>
    <row r="173" spans="1:7" s="290" customFormat="1" ht="12.75" customHeight="1" x14ac:dyDescent="0.2">
      <c r="A173" s="289">
        <v>2</v>
      </c>
      <c r="B173" s="304" t="s">
        <v>620</v>
      </c>
      <c r="C173" s="289" t="s">
        <v>39</v>
      </c>
      <c r="D173" s="317">
        <v>90</v>
      </c>
      <c r="E173" s="297"/>
      <c r="F173" s="297">
        <f t="shared" ref="F173:F204" si="6">+ROUND(D173*E173,0)</f>
        <v>0</v>
      </c>
      <c r="G173" s="289"/>
    </row>
    <row r="174" spans="1:7" s="290" customFormat="1" ht="12.75" customHeight="1" x14ac:dyDescent="0.2">
      <c r="A174" s="289">
        <v>3</v>
      </c>
      <c r="B174" s="289" t="s">
        <v>621</v>
      </c>
      <c r="C174" s="289" t="s">
        <v>39</v>
      </c>
      <c r="D174" s="317">
        <v>98.4</v>
      </c>
      <c r="E174" s="297"/>
      <c r="F174" s="297">
        <f t="shared" si="6"/>
        <v>0</v>
      </c>
      <c r="G174" s="289"/>
    </row>
    <row r="175" spans="1:7" s="290" customFormat="1" ht="12.75" customHeight="1" x14ac:dyDescent="0.2">
      <c r="A175" s="318">
        <v>4</v>
      </c>
      <c r="B175" s="289" t="s">
        <v>622</v>
      </c>
      <c r="C175" s="289" t="s">
        <v>39</v>
      </c>
      <c r="D175" s="317">
        <v>193.8</v>
      </c>
      <c r="E175" s="297"/>
      <c r="F175" s="297">
        <f t="shared" si="6"/>
        <v>0</v>
      </c>
      <c r="G175" s="289"/>
    </row>
    <row r="176" spans="1:7" s="290" customFormat="1" ht="25.5" x14ac:dyDescent="0.2">
      <c r="A176" s="318">
        <v>5</v>
      </c>
      <c r="B176" s="304" t="s">
        <v>623</v>
      </c>
      <c r="C176" s="289" t="s">
        <v>38</v>
      </c>
      <c r="D176" s="317">
        <v>2</v>
      </c>
      <c r="E176" s="297"/>
      <c r="F176" s="297">
        <f t="shared" si="6"/>
        <v>0</v>
      </c>
      <c r="G176" s="289"/>
    </row>
    <row r="177" spans="1:7" s="290" customFormat="1" ht="12.75" x14ac:dyDescent="0.2">
      <c r="A177" s="318">
        <v>6</v>
      </c>
      <c r="B177" s="304" t="s">
        <v>624</v>
      </c>
      <c r="C177" s="289" t="s">
        <v>22</v>
      </c>
      <c r="D177" s="317">
        <v>3</v>
      </c>
      <c r="E177" s="297"/>
      <c r="F177" s="297"/>
      <c r="G177" s="289"/>
    </row>
    <row r="178" spans="1:7" s="290" customFormat="1" ht="12.75" x14ac:dyDescent="0.2">
      <c r="A178" s="289">
        <v>7</v>
      </c>
      <c r="B178" s="304" t="s">
        <v>625</v>
      </c>
      <c r="C178" s="289" t="s">
        <v>22</v>
      </c>
      <c r="D178" s="317">
        <v>11</v>
      </c>
      <c r="E178" s="297"/>
      <c r="F178" s="297"/>
      <c r="G178" s="289"/>
    </row>
    <row r="179" spans="1:7" s="290" customFormat="1" ht="12.75" x14ac:dyDescent="0.2">
      <c r="A179" s="289">
        <v>8</v>
      </c>
      <c r="B179" s="304" t="s">
        <v>626</v>
      </c>
      <c r="C179" s="289" t="s">
        <v>22</v>
      </c>
      <c r="D179" s="317">
        <v>41</v>
      </c>
      <c r="E179" s="297"/>
      <c r="F179" s="297"/>
      <c r="G179" s="289"/>
    </row>
    <row r="180" spans="1:7" s="290" customFormat="1" ht="12.75" x14ac:dyDescent="0.2">
      <c r="A180" s="289">
        <v>9</v>
      </c>
      <c r="B180" s="304" t="s">
        <v>627</v>
      </c>
      <c r="C180" s="289" t="s">
        <v>22</v>
      </c>
      <c r="D180" s="317">
        <v>16</v>
      </c>
      <c r="E180" s="297"/>
      <c r="F180" s="297"/>
      <c r="G180" s="289"/>
    </row>
    <row r="181" spans="1:7" s="290" customFormat="1" ht="22.5" x14ac:dyDescent="0.2">
      <c r="A181" s="289">
        <v>10</v>
      </c>
      <c r="B181" s="299" t="s">
        <v>628</v>
      </c>
      <c r="C181" s="289" t="s">
        <v>38</v>
      </c>
      <c r="D181" s="317">
        <v>9</v>
      </c>
      <c r="E181" s="297"/>
      <c r="F181" s="297">
        <f t="shared" si="6"/>
        <v>0</v>
      </c>
      <c r="G181" s="289"/>
    </row>
    <row r="182" spans="1:7" s="290" customFormat="1" ht="22.5" x14ac:dyDescent="0.2">
      <c r="A182" s="289">
        <v>11</v>
      </c>
      <c r="B182" s="299" t="s">
        <v>629</v>
      </c>
      <c r="C182" s="289" t="s">
        <v>38</v>
      </c>
      <c r="D182" s="317">
        <v>12</v>
      </c>
      <c r="E182" s="297"/>
      <c r="F182" s="297">
        <f t="shared" si="6"/>
        <v>0</v>
      </c>
      <c r="G182" s="289"/>
    </row>
    <row r="183" spans="1:7" s="290" customFormat="1" ht="22.5" x14ac:dyDescent="0.2">
      <c r="A183" s="289">
        <v>12</v>
      </c>
      <c r="B183" s="299" t="s">
        <v>630</v>
      </c>
      <c r="C183" s="289" t="s">
        <v>38</v>
      </c>
      <c r="D183" s="317">
        <v>13</v>
      </c>
      <c r="E183" s="297"/>
      <c r="F183" s="297">
        <f t="shared" si="6"/>
        <v>0</v>
      </c>
      <c r="G183" s="289"/>
    </row>
    <row r="184" spans="1:7" s="290" customFormat="1" ht="22.5" x14ac:dyDescent="0.2">
      <c r="A184" s="289">
        <v>13</v>
      </c>
      <c r="B184" s="299" t="s">
        <v>631</v>
      </c>
      <c r="C184" s="289" t="s">
        <v>38</v>
      </c>
      <c r="D184" s="317">
        <v>11</v>
      </c>
      <c r="E184" s="297"/>
      <c r="F184" s="297">
        <f t="shared" si="6"/>
        <v>0</v>
      </c>
      <c r="G184" s="289"/>
    </row>
    <row r="185" spans="1:7" s="290" customFormat="1" ht="22.5" x14ac:dyDescent="0.2">
      <c r="A185" s="289">
        <v>14</v>
      </c>
      <c r="B185" s="299" t="s">
        <v>632</v>
      </c>
      <c r="C185" s="289" t="s">
        <v>38</v>
      </c>
      <c r="D185" s="317">
        <v>1</v>
      </c>
      <c r="E185" s="297"/>
      <c r="F185" s="297">
        <f t="shared" si="6"/>
        <v>0</v>
      </c>
      <c r="G185" s="289"/>
    </row>
    <row r="186" spans="1:7" s="290" customFormat="1" x14ac:dyDescent="0.25">
      <c r="A186" s="308"/>
      <c r="B186" s="320" t="s">
        <v>633</v>
      </c>
      <c r="C186" s="294"/>
      <c r="D186" s="295"/>
      <c r="E186" s="298"/>
      <c r="F186" s="298"/>
      <c r="G186" s="319">
        <f>SUM(F188:F246)</f>
        <v>0</v>
      </c>
    </row>
    <row r="187" spans="1:7" s="290" customFormat="1" ht="12.75" x14ac:dyDescent="0.2">
      <c r="A187" s="289"/>
      <c r="B187" s="305" t="s">
        <v>634</v>
      </c>
      <c r="C187" s="289"/>
      <c r="D187" s="317"/>
      <c r="E187" s="297"/>
      <c r="F187" s="297"/>
      <c r="G187" s="289"/>
    </row>
    <row r="188" spans="1:7" s="290" customFormat="1" ht="12.75" x14ac:dyDescent="0.2">
      <c r="A188" s="289">
        <v>12</v>
      </c>
      <c r="B188" s="286" t="s">
        <v>635</v>
      </c>
      <c r="C188" s="289" t="s">
        <v>38</v>
      </c>
      <c r="D188" s="317">
        <v>11</v>
      </c>
      <c r="E188" s="297"/>
      <c r="F188" s="297">
        <f t="shared" si="6"/>
        <v>0</v>
      </c>
      <c r="G188" s="289"/>
    </row>
    <row r="189" spans="1:7" s="290" customFormat="1" ht="12.75" x14ac:dyDescent="0.2">
      <c r="A189" s="289">
        <v>13</v>
      </c>
      <c r="B189" s="304" t="s">
        <v>636</v>
      </c>
      <c r="C189" s="289" t="s">
        <v>38</v>
      </c>
      <c r="D189" s="317">
        <v>7</v>
      </c>
      <c r="E189" s="297"/>
      <c r="F189" s="297">
        <f t="shared" si="6"/>
        <v>0</v>
      </c>
      <c r="G189" s="289"/>
    </row>
    <row r="190" spans="1:7" s="290" customFormat="1" ht="12.75" x14ac:dyDescent="0.2">
      <c r="A190" s="289">
        <v>14</v>
      </c>
      <c r="B190" s="304" t="s">
        <v>637</v>
      </c>
      <c r="C190" s="289" t="s">
        <v>38</v>
      </c>
      <c r="D190" s="317">
        <v>7</v>
      </c>
      <c r="E190" s="297"/>
      <c r="F190" s="297">
        <f t="shared" si="6"/>
        <v>0</v>
      </c>
      <c r="G190" s="289"/>
    </row>
    <row r="191" spans="1:7" s="290" customFormat="1" ht="12.75" x14ac:dyDescent="0.2">
      <c r="A191" s="289">
        <v>15</v>
      </c>
      <c r="B191" s="304" t="s">
        <v>638</v>
      </c>
      <c r="C191" s="289" t="s">
        <v>38</v>
      </c>
      <c r="D191" s="317">
        <v>1</v>
      </c>
      <c r="E191" s="297"/>
      <c r="F191" s="297">
        <f t="shared" si="6"/>
        <v>0</v>
      </c>
      <c r="G191" s="289"/>
    </row>
    <row r="192" spans="1:7" s="290" customFormat="1" ht="12.75" x14ac:dyDescent="0.2">
      <c r="A192" s="289">
        <v>16</v>
      </c>
      <c r="B192" s="304" t="s">
        <v>639</v>
      </c>
      <c r="C192" s="289" t="s">
        <v>38</v>
      </c>
      <c r="D192" s="317">
        <v>1</v>
      </c>
      <c r="E192" s="297"/>
      <c r="F192" s="297">
        <f t="shared" si="6"/>
        <v>0</v>
      </c>
      <c r="G192" s="289"/>
    </row>
    <row r="193" spans="1:7" s="290" customFormat="1" ht="12.75" x14ac:dyDescent="0.2">
      <c r="A193" s="289">
        <v>17</v>
      </c>
      <c r="B193" s="304" t="s">
        <v>640</v>
      </c>
      <c r="C193" s="289" t="s">
        <v>38</v>
      </c>
      <c r="D193" s="317">
        <v>11</v>
      </c>
      <c r="E193" s="297"/>
      <c r="F193" s="297">
        <f t="shared" si="6"/>
        <v>0</v>
      </c>
      <c r="G193" s="289"/>
    </row>
    <row r="194" spans="1:7" s="290" customFormat="1" ht="12.75" x14ac:dyDescent="0.2">
      <c r="A194" s="289">
        <v>18</v>
      </c>
      <c r="B194" s="304" t="s">
        <v>641</v>
      </c>
      <c r="C194" s="289" t="s">
        <v>38</v>
      </c>
      <c r="D194" s="317">
        <v>1</v>
      </c>
      <c r="E194" s="297"/>
      <c r="F194" s="297">
        <f t="shared" si="6"/>
        <v>0</v>
      </c>
      <c r="G194" s="289"/>
    </row>
    <row r="195" spans="1:7" s="290" customFormat="1" ht="12.75" x14ac:dyDescent="0.2">
      <c r="A195" s="289">
        <v>19</v>
      </c>
      <c r="B195" s="304" t="s">
        <v>642</v>
      </c>
      <c r="C195" s="289" t="s">
        <v>38</v>
      </c>
      <c r="D195" s="317">
        <v>10</v>
      </c>
      <c r="E195" s="297"/>
      <c r="F195" s="297">
        <f t="shared" si="6"/>
        <v>0</v>
      </c>
      <c r="G195" s="289"/>
    </row>
    <row r="196" spans="1:7" s="290" customFormat="1" ht="12.75" x14ac:dyDescent="0.2">
      <c r="A196" s="289">
        <v>20</v>
      </c>
      <c r="B196" s="304" t="s">
        <v>643</v>
      </c>
      <c r="C196" s="289" t="s">
        <v>38</v>
      </c>
      <c r="D196" s="317">
        <v>7</v>
      </c>
      <c r="E196" s="297"/>
      <c r="F196" s="297">
        <f t="shared" si="6"/>
        <v>0</v>
      </c>
      <c r="G196" s="289"/>
    </row>
    <row r="197" spans="1:7" s="290" customFormat="1" ht="12.75" x14ac:dyDescent="0.2">
      <c r="A197" s="289">
        <v>21</v>
      </c>
      <c r="B197" s="304" t="s">
        <v>644</v>
      </c>
      <c r="C197" s="289" t="s">
        <v>38</v>
      </c>
      <c r="D197" s="317">
        <v>1</v>
      </c>
      <c r="E197" s="297"/>
      <c r="F197" s="297">
        <f t="shared" si="6"/>
        <v>0</v>
      </c>
      <c r="G197" s="289"/>
    </row>
    <row r="198" spans="1:7" s="290" customFormat="1" ht="12.75" x14ac:dyDescent="0.2">
      <c r="A198" s="289">
        <v>22</v>
      </c>
      <c r="B198" s="304" t="s">
        <v>645</v>
      </c>
      <c r="C198" s="289" t="s">
        <v>38</v>
      </c>
      <c r="D198" s="317">
        <v>11</v>
      </c>
      <c r="E198" s="297"/>
      <c r="F198" s="297">
        <f t="shared" si="6"/>
        <v>0</v>
      </c>
      <c r="G198" s="289"/>
    </row>
    <row r="199" spans="1:7" s="290" customFormat="1" ht="19.5" customHeight="1" x14ac:dyDescent="0.2">
      <c r="A199" s="289">
        <v>23</v>
      </c>
      <c r="B199" s="286" t="s">
        <v>646</v>
      </c>
      <c r="C199" s="289" t="s">
        <v>38</v>
      </c>
      <c r="D199" s="317">
        <v>1</v>
      </c>
      <c r="E199" s="297"/>
      <c r="F199" s="297">
        <f t="shared" si="6"/>
        <v>0</v>
      </c>
      <c r="G199" s="289"/>
    </row>
    <row r="200" spans="1:7" s="290" customFormat="1" ht="12.75" x14ac:dyDescent="0.2">
      <c r="A200" s="289">
        <v>24</v>
      </c>
      <c r="B200" s="299" t="s">
        <v>647</v>
      </c>
      <c r="C200" s="289" t="s">
        <v>38</v>
      </c>
      <c r="D200" s="317">
        <v>11</v>
      </c>
      <c r="E200" s="297"/>
      <c r="F200" s="297">
        <f t="shared" si="6"/>
        <v>0</v>
      </c>
      <c r="G200" s="289"/>
    </row>
    <row r="201" spans="1:7" s="290" customFormat="1" ht="12.75" x14ac:dyDescent="0.2">
      <c r="A201" s="289">
        <v>25</v>
      </c>
      <c r="B201" s="304" t="s">
        <v>648</v>
      </c>
      <c r="C201" s="289" t="s">
        <v>38</v>
      </c>
      <c r="D201" s="317">
        <v>1</v>
      </c>
      <c r="E201" s="297"/>
      <c r="F201" s="297">
        <f t="shared" si="6"/>
        <v>0</v>
      </c>
      <c r="G201" s="289"/>
    </row>
    <row r="202" spans="1:7" s="290" customFormat="1" ht="12.75" x14ac:dyDescent="0.2">
      <c r="A202" s="289">
        <v>26</v>
      </c>
      <c r="B202" s="304" t="s">
        <v>649</v>
      </c>
      <c r="C202" s="289" t="s">
        <v>38</v>
      </c>
      <c r="D202" s="317">
        <v>7</v>
      </c>
      <c r="E202" s="297"/>
      <c r="F202" s="297">
        <f t="shared" si="6"/>
        <v>0</v>
      </c>
      <c r="G202" s="289"/>
    </row>
    <row r="203" spans="1:7" s="290" customFormat="1" ht="25.5" x14ac:dyDescent="0.2">
      <c r="A203" s="289">
        <v>27</v>
      </c>
      <c r="B203" s="304" t="s">
        <v>650</v>
      </c>
      <c r="C203" s="289" t="s">
        <v>38</v>
      </c>
      <c r="D203" s="317">
        <v>1</v>
      </c>
      <c r="E203" s="297"/>
      <c r="F203" s="297">
        <f t="shared" si="6"/>
        <v>0</v>
      </c>
      <c r="G203" s="289"/>
    </row>
    <row r="204" spans="1:7" s="290" customFormat="1" ht="12.75" x14ac:dyDescent="0.2">
      <c r="A204" s="289">
        <v>28</v>
      </c>
      <c r="B204" s="304" t="s">
        <v>651</v>
      </c>
      <c r="C204" s="289" t="s">
        <v>38</v>
      </c>
      <c r="D204" s="317">
        <v>3</v>
      </c>
      <c r="E204" s="297"/>
      <c r="F204" s="297">
        <f t="shared" si="6"/>
        <v>0</v>
      </c>
      <c r="G204" s="289"/>
    </row>
    <row r="205" spans="1:7" s="290" customFormat="1" ht="12.75" x14ac:dyDescent="0.2">
      <c r="A205" s="289"/>
      <c r="B205" s="305" t="s">
        <v>652</v>
      </c>
      <c r="C205" s="289"/>
      <c r="D205" s="317"/>
      <c r="E205" s="297"/>
      <c r="F205" s="297"/>
      <c r="G205" s="289"/>
    </row>
    <row r="206" spans="1:7" s="290" customFormat="1" ht="12.75" x14ac:dyDescent="0.2">
      <c r="A206" s="289">
        <v>29</v>
      </c>
      <c r="B206" s="286" t="s">
        <v>635</v>
      </c>
      <c r="C206" s="289" t="s">
        <v>38</v>
      </c>
      <c r="D206" s="317">
        <v>10</v>
      </c>
      <c r="E206" s="297"/>
      <c r="F206" s="297">
        <f t="shared" ref="F206:F225" si="7">+ROUND(D206*E206,0)</f>
        <v>0</v>
      </c>
      <c r="G206" s="289"/>
    </row>
    <row r="207" spans="1:7" s="290" customFormat="1" ht="12.75" x14ac:dyDescent="0.2">
      <c r="A207" s="289">
        <v>30</v>
      </c>
      <c r="B207" s="304" t="s">
        <v>636</v>
      </c>
      <c r="C207" s="289" t="s">
        <v>38</v>
      </c>
      <c r="D207" s="317">
        <v>8</v>
      </c>
      <c r="E207" s="297"/>
      <c r="F207" s="297">
        <f t="shared" si="7"/>
        <v>0</v>
      </c>
      <c r="G207" s="289"/>
    </row>
    <row r="208" spans="1:7" s="290" customFormat="1" ht="12.75" x14ac:dyDescent="0.2">
      <c r="A208" s="289">
        <v>31</v>
      </c>
      <c r="B208" s="304" t="s">
        <v>637</v>
      </c>
      <c r="C208" s="289" t="s">
        <v>38</v>
      </c>
      <c r="D208" s="317">
        <v>8</v>
      </c>
      <c r="E208" s="297"/>
      <c r="F208" s="297">
        <f t="shared" si="7"/>
        <v>0</v>
      </c>
      <c r="G208" s="289"/>
    </row>
    <row r="209" spans="1:7" s="290" customFormat="1" ht="12.75" x14ac:dyDescent="0.2">
      <c r="A209" s="289">
        <v>32</v>
      </c>
      <c r="B209" s="304" t="s">
        <v>639</v>
      </c>
      <c r="C209" s="289" t="s">
        <v>38</v>
      </c>
      <c r="D209" s="317">
        <v>5</v>
      </c>
      <c r="E209" s="297"/>
      <c r="F209" s="297">
        <f t="shared" si="7"/>
        <v>0</v>
      </c>
      <c r="G209" s="289"/>
    </row>
    <row r="210" spans="1:7" s="290" customFormat="1" ht="12.75" x14ac:dyDescent="0.2">
      <c r="A210" s="289">
        <v>33</v>
      </c>
      <c r="B210" s="304" t="s">
        <v>640</v>
      </c>
      <c r="C210" s="289" t="s">
        <v>38</v>
      </c>
      <c r="D210" s="317">
        <v>2</v>
      </c>
      <c r="E210" s="297"/>
      <c r="F210" s="297">
        <f t="shared" si="7"/>
        <v>0</v>
      </c>
      <c r="G210" s="289"/>
    </row>
    <row r="211" spans="1:7" s="290" customFormat="1" ht="12.75" x14ac:dyDescent="0.2">
      <c r="A211" s="289">
        <v>34</v>
      </c>
      <c r="B211" s="304" t="s">
        <v>653</v>
      </c>
      <c r="C211" s="289" t="s">
        <v>38</v>
      </c>
      <c r="D211" s="317">
        <v>3</v>
      </c>
      <c r="E211" s="297"/>
      <c r="F211" s="297">
        <f t="shared" si="7"/>
        <v>0</v>
      </c>
      <c r="G211" s="289"/>
    </row>
    <row r="212" spans="1:7" s="290" customFormat="1" ht="12.75" x14ac:dyDescent="0.2">
      <c r="A212" s="289">
        <v>35</v>
      </c>
      <c r="B212" s="304" t="s">
        <v>642</v>
      </c>
      <c r="C212" s="289" t="s">
        <v>38</v>
      </c>
      <c r="D212" s="317">
        <v>9</v>
      </c>
      <c r="E212" s="297"/>
      <c r="F212" s="297">
        <f t="shared" si="7"/>
        <v>0</v>
      </c>
      <c r="G212" s="289"/>
    </row>
    <row r="213" spans="1:7" s="290" customFormat="1" ht="12.75" x14ac:dyDescent="0.2">
      <c r="A213" s="289">
        <v>36</v>
      </c>
      <c r="B213" s="304" t="s">
        <v>654</v>
      </c>
      <c r="C213" s="289" t="s">
        <v>38</v>
      </c>
      <c r="D213" s="317">
        <v>6</v>
      </c>
      <c r="E213" s="297"/>
      <c r="F213" s="297">
        <f t="shared" si="7"/>
        <v>0</v>
      </c>
      <c r="G213" s="289"/>
    </row>
    <row r="214" spans="1:7" s="290" customFormat="1" ht="12.75" x14ac:dyDescent="0.2">
      <c r="A214" s="289">
        <v>37</v>
      </c>
      <c r="B214" s="304" t="s">
        <v>655</v>
      </c>
      <c r="C214" s="289" t="s">
        <v>38</v>
      </c>
      <c r="D214" s="317">
        <v>1</v>
      </c>
      <c r="E214" s="297"/>
      <c r="F214" s="297">
        <f t="shared" si="7"/>
        <v>0</v>
      </c>
      <c r="G214" s="289"/>
    </row>
    <row r="215" spans="1:7" s="290" customFormat="1" ht="12.75" x14ac:dyDescent="0.2">
      <c r="A215" s="289">
        <v>38</v>
      </c>
      <c r="B215" s="299" t="s">
        <v>656</v>
      </c>
      <c r="C215" s="289" t="s">
        <v>38</v>
      </c>
      <c r="D215" s="317">
        <v>2</v>
      </c>
      <c r="E215" s="297"/>
      <c r="F215" s="297">
        <f t="shared" si="7"/>
        <v>0</v>
      </c>
      <c r="G215" s="289"/>
    </row>
    <row r="216" spans="1:7" s="290" customFormat="1" ht="12.75" customHeight="1" x14ac:dyDescent="0.2">
      <c r="A216" s="289">
        <v>39</v>
      </c>
      <c r="B216" s="286" t="s">
        <v>646</v>
      </c>
      <c r="C216" s="289" t="s">
        <v>38</v>
      </c>
      <c r="D216" s="317">
        <v>1</v>
      </c>
      <c r="E216" s="297"/>
      <c r="F216" s="297">
        <f t="shared" si="7"/>
        <v>0</v>
      </c>
      <c r="G216" s="289"/>
    </row>
    <row r="217" spans="1:7" s="290" customFormat="1" ht="12.75" x14ac:dyDescent="0.2">
      <c r="A217" s="289">
        <v>40</v>
      </c>
      <c r="B217" s="299" t="s">
        <v>657</v>
      </c>
      <c r="C217" s="289" t="s">
        <v>38</v>
      </c>
      <c r="D217" s="317">
        <v>1</v>
      </c>
      <c r="E217" s="297"/>
      <c r="F217" s="297">
        <f t="shared" si="7"/>
        <v>0</v>
      </c>
      <c r="G217" s="289"/>
    </row>
    <row r="218" spans="1:7" s="290" customFormat="1" ht="12.75" x14ac:dyDescent="0.2">
      <c r="A218" s="289">
        <v>41</v>
      </c>
      <c r="B218" s="304" t="s">
        <v>643</v>
      </c>
      <c r="C218" s="289" t="s">
        <v>38</v>
      </c>
      <c r="D218" s="317">
        <v>8</v>
      </c>
      <c r="E218" s="297"/>
      <c r="F218" s="297">
        <f t="shared" si="7"/>
        <v>0</v>
      </c>
      <c r="G218" s="289"/>
    </row>
    <row r="219" spans="1:7" s="290" customFormat="1" ht="12.75" x14ac:dyDescent="0.2">
      <c r="A219" s="289">
        <v>42</v>
      </c>
      <c r="B219" s="304" t="s">
        <v>644</v>
      </c>
      <c r="C219" s="289" t="s">
        <v>38</v>
      </c>
      <c r="D219" s="317">
        <v>5</v>
      </c>
      <c r="E219" s="297"/>
      <c r="F219" s="297">
        <f t="shared" si="7"/>
        <v>0</v>
      </c>
      <c r="G219" s="289"/>
    </row>
    <row r="220" spans="1:7" s="290" customFormat="1" ht="12.75" x14ac:dyDescent="0.2">
      <c r="A220" s="289">
        <v>43</v>
      </c>
      <c r="B220" s="304" t="s">
        <v>658</v>
      </c>
      <c r="C220" s="289" t="s">
        <v>38</v>
      </c>
      <c r="D220" s="317">
        <v>4</v>
      </c>
      <c r="E220" s="297"/>
      <c r="F220" s="297">
        <f t="shared" si="7"/>
        <v>0</v>
      </c>
      <c r="G220" s="289"/>
    </row>
    <row r="221" spans="1:7" s="290" customFormat="1" ht="12.75" x14ac:dyDescent="0.2">
      <c r="A221" s="289">
        <v>44</v>
      </c>
      <c r="B221" s="304" t="s">
        <v>659</v>
      </c>
      <c r="C221" s="289" t="s">
        <v>38</v>
      </c>
      <c r="D221" s="317">
        <v>4</v>
      </c>
      <c r="E221" s="297"/>
      <c r="F221" s="297">
        <f t="shared" si="7"/>
        <v>0</v>
      </c>
      <c r="G221" s="289"/>
    </row>
    <row r="222" spans="1:7" s="290" customFormat="1" ht="12.75" x14ac:dyDescent="0.2">
      <c r="A222" s="289">
        <v>45</v>
      </c>
      <c r="B222" s="304" t="s">
        <v>649</v>
      </c>
      <c r="C222" s="289" t="s">
        <v>38</v>
      </c>
      <c r="D222" s="317">
        <v>11</v>
      </c>
      <c r="E222" s="297"/>
      <c r="F222" s="297">
        <f t="shared" si="7"/>
        <v>0</v>
      </c>
      <c r="G222" s="289"/>
    </row>
    <row r="223" spans="1:7" s="290" customFormat="1" ht="12.75" x14ac:dyDescent="0.2">
      <c r="A223" s="289">
        <v>46</v>
      </c>
      <c r="B223" s="304" t="s">
        <v>660</v>
      </c>
      <c r="C223" s="289" t="s">
        <v>38</v>
      </c>
      <c r="D223" s="317">
        <v>2</v>
      </c>
      <c r="E223" s="297"/>
      <c r="F223" s="297">
        <f t="shared" si="7"/>
        <v>0</v>
      </c>
      <c r="G223" s="289"/>
    </row>
    <row r="224" spans="1:7" s="290" customFormat="1" ht="12.75" x14ac:dyDescent="0.2">
      <c r="A224" s="289"/>
      <c r="B224" s="304" t="s">
        <v>661</v>
      </c>
      <c r="C224" s="289" t="s">
        <v>38</v>
      </c>
      <c r="D224" s="317">
        <v>1</v>
      </c>
      <c r="E224" s="297"/>
      <c r="F224" s="297">
        <f t="shared" si="7"/>
        <v>0</v>
      </c>
      <c r="G224" s="289"/>
    </row>
    <row r="225" spans="1:7" s="290" customFormat="1" ht="12.75" x14ac:dyDescent="0.2">
      <c r="A225" s="289">
        <v>47</v>
      </c>
      <c r="B225" s="304" t="s">
        <v>651</v>
      </c>
      <c r="C225" s="289" t="s">
        <v>38</v>
      </c>
      <c r="D225" s="317">
        <v>3</v>
      </c>
      <c r="E225" s="297"/>
      <c r="F225" s="297">
        <f t="shared" si="7"/>
        <v>0</v>
      </c>
      <c r="G225" s="289"/>
    </row>
    <row r="226" spans="1:7" s="290" customFormat="1" ht="12.75" x14ac:dyDescent="0.2">
      <c r="A226" s="289">
        <v>48</v>
      </c>
      <c r="B226" s="305" t="s">
        <v>662</v>
      </c>
      <c r="C226" s="289"/>
      <c r="D226" s="317"/>
      <c r="E226" s="297"/>
      <c r="F226" s="297"/>
      <c r="G226" s="289"/>
    </row>
    <row r="227" spans="1:7" s="290" customFormat="1" ht="12.75" x14ac:dyDescent="0.2">
      <c r="A227" s="289">
        <v>49</v>
      </c>
      <c r="B227" s="286" t="s">
        <v>635</v>
      </c>
      <c r="C227" s="289" t="s">
        <v>38</v>
      </c>
      <c r="D227" s="317">
        <v>4</v>
      </c>
      <c r="E227" s="297"/>
      <c r="F227" s="297">
        <f t="shared" ref="F227:F241" si="8">+ROUND(D227*E227,0)</f>
        <v>0</v>
      </c>
      <c r="G227" s="289"/>
    </row>
    <row r="228" spans="1:7" s="290" customFormat="1" ht="12.75" x14ac:dyDescent="0.2">
      <c r="A228" s="289">
        <v>50</v>
      </c>
      <c r="B228" s="304" t="s">
        <v>636</v>
      </c>
      <c r="C228" s="289" t="s">
        <v>38</v>
      </c>
      <c r="D228" s="317">
        <v>3</v>
      </c>
      <c r="E228" s="297"/>
      <c r="F228" s="297">
        <f t="shared" si="8"/>
        <v>0</v>
      </c>
      <c r="G228" s="289"/>
    </row>
    <row r="229" spans="1:7" s="290" customFormat="1" ht="12.75" x14ac:dyDescent="0.2">
      <c r="A229" s="289">
        <v>51</v>
      </c>
      <c r="B229" s="304" t="s">
        <v>637</v>
      </c>
      <c r="C229" s="289" t="s">
        <v>38</v>
      </c>
      <c r="D229" s="317">
        <v>3</v>
      </c>
      <c r="E229" s="297"/>
      <c r="F229" s="297">
        <f t="shared" si="8"/>
        <v>0</v>
      </c>
      <c r="G229" s="289"/>
    </row>
    <row r="230" spans="1:7" s="290" customFormat="1" ht="12.75" x14ac:dyDescent="0.2">
      <c r="A230" s="289">
        <v>52</v>
      </c>
      <c r="B230" s="304" t="s">
        <v>639</v>
      </c>
      <c r="C230" s="289" t="s">
        <v>38</v>
      </c>
      <c r="D230" s="317">
        <v>2</v>
      </c>
      <c r="E230" s="297"/>
      <c r="F230" s="297">
        <f t="shared" si="8"/>
        <v>0</v>
      </c>
      <c r="G230" s="289"/>
    </row>
    <row r="231" spans="1:7" s="290" customFormat="1" ht="12.75" x14ac:dyDescent="0.2">
      <c r="A231" s="289">
        <v>53</v>
      </c>
      <c r="B231" s="304" t="s">
        <v>640</v>
      </c>
      <c r="C231" s="289" t="s">
        <v>38</v>
      </c>
      <c r="D231" s="317">
        <v>1</v>
      </c>
      <c r="E231" s="297"/>
      <c r="F231" s="297">
        <f t="shared" si="8"/>
        <v>0</v>
      </c>
      <c r="G231" s="289"/>
    </row>
    <row r="232" spans="1:7" s="290" customFormat="1" ht="12.75" x14ac:dyDescent="0.2">
      <c r="A232" s="289">
        <v>54</v>
      </c>
      <c r="B232" s="304"/>
      <c r="C232" s="289"/>
      <c r="D232" s="317"/>
      <c r="E232" s="297"/>
      <c r="F232" s="297"/>
      <c r="G232" s="289"/>
    </row>
    <row r="233" spans="1:7" s="290" customFormat="1" ht="12.75" x14ac:dyDescent="0.2">
      <c r="A233" s="289">
        <v>55</v>
      </c>
      <c r="B233" s="304" t="s">
        <v>642</v>
      </c>
      <c r="C233" s="289" t="s">
        <v>38</v>
      </c>
      <c r="D233" s="317">
        <v>4</v>
      </c>
      <c r="E233" s="297"/>
      <c r="F233" s="297">
        <f t="shared" si="8"/>
        <v>0</v>
      </c>
      <c r="G233" s="289"/>
    </row>
    <row r="234" spans="1:7" s="290" customFormat="1" ht="12.75" x14ac:dyDescent="0.2">
      <c r="A234" s="289">
        <v>56</v>
      </c>
      <c r="B234" s="299" t="s">
        <v>657</v>
      </c>
      <c r="C234" s="289" t="s">
        <v>38</v>
      </c>
      <c r="D234" s="317">
        <v>1</v>
      </c>
      <c r="E234" s="297"/>
      <c r="F234" s="297">
        <f t="shared" si="8"/>
        <v>0</v>
      </c>
      <c r="G234" s="289"/>
    </row>
    <row r="235" spans="1:7" s="290" customFormat="1" ht="12.75" x14ac:dyDescent="0.2">
      <c r="A235" s="289">
        <v>57</v>
      </c>
      <c r="B235" s="304" t="s">
        <v>643</v>
      </c>
      <c r="C235" s="289" t="s">
        <v>38</v>
      </c>
      <c r="D235" s="317">
        <v>3</v>
      </c>
      <c r="E235" s="297"/>
      <c r="F235" s="297">
        <f t="shared" si="8"/>
        <v>0</v>
      </c>
      <c r="G235" s="289"/>
    </row>
    <row r="236" spans="1:7" s="290" customFormat="1" ht="12.75" x14ac:dyDescent="0.2">
      <c r="A236" s="289">
        <v>58</v>
      </c>
      <c r="B236" s="304" t="s">
        <v>644</v>
      </c>
      <c r="C236" s="289" t="s">
        <v>38</v>
      </c>
      <c r="D236" s="317">
        <v>2</v>
      </c>
      <c r="E236" s="297"/>
      <c r="F236" s="297">
        <f t="shared" si="8"/>
        <v>0</v>
      </c>
      <c r="G236" s="289"/>
    </row>
    <row r="237" spans="1:7" s="290" customFormat="1" ht="12.75" x14ac:dyDescent="0.2">
      <c r="A237" s="289">
        <v>59</v>
      </c>
      <c r="B237" s="304" t="s">
        <v>658</v>
      </c>
      <c r="C237" s="289" t="s">
        <v>38</v>
      </c>
      <c r="D237" s="317">
        <v>4</v>
      </c>
      <c r="E237" s="297"/>
      <c r="F237" s="297">
        <f t="shared" si="8"/>
        <v>0</v>
      </c>
      <c r="G237" s="289"/>
    </row>
    <row r="238" spans="1:7" s="290" customFormat="1" ht="12.75" x14ac:dyDescent="0.2">
      <c r="A238" s="289">
        <v>60</v>
      </c>
      <c r="B238" s="304" t="s">
        <v>659</v>
      </c>
      <c r="C238" s="289" t="s">
        <v>38</v>
      </c>
      <c r="D238" s="317">
        <v>4</v>
      </c>
      <c r="E238" s="297"/>
      <c r="F238" s="297">
        <f t="shared" si="8"/>
        <v>0</v>
      </c>
      <c r="G238" s="289"/>
    </row>
    <row r="239" spans="1:7" s="290" customFormat="1" ht="12.75" x14ac:dyDescent="0.2">
      <c r="A239" s="289">
        <v>61</v>
      </c>
      <c r="B239" s="304" t="s">
        <v>649</v>
      </c>
      <c r="C239" s="289" t="s">
        <v>38</v>
      </c>
      <c r="D239" s="317">
        <v>5</v>
      </c>
      <c r="E239" s="297"/>
      <c r="F239" s="297">
        <f t="shared" si="8"/>
        <v>0</v>
      </c>
      <c r="G239" s="289"/>
    </row>
    <row r="240" spans="1:7" s="290" customFormat="1" ht="12.75" x14ac:dyDescent="0.2">
      <c r="A240" s="289">
        <v>62</v>
      </c>
      <c r="B240" s="304" t="s">
        <v>660</v>
      </c>
      <c r="C240" s="289" t="s">
        <v>38</v>
      </c>
      <c r="D240" s="317">
        <v>3</v>
      </c>
      <c r="E240" s="297"/>
      <c r="F240" s="297">
        <f t="shared" si="8"/>
        <v>0</v>
      </c>
      <c r="G240" s="289"/>
    </row>
    <row r="241" spans="1:7" s="290" customFormat="1" ht="12.75" x14ac:dyDescent="0.2">
      <c r="A241" s="289">
        <v>63</v>
      </c>
      <c r="B241" s="304" t="s">
        <v>651</v>
      </c>
      <c r="C241" s="289" t="s">
        <v>38</v>
      </c>
      <c r="D241" s="317">
        <v>1</v>
      </c>
      <c r="E241" s="297"/>
      <c r="F241" s="297">
        <f t="shared" si="8"/>
        <v>0</v>
      </c>
      <c r="G241" s="289"/>
    </row>
    <row r="242" spans="1:7" s="290" customFormat="1" ht="12.75" x14ac:dyDescent="0.2">
      <c r="A242" s="289"/>
      <c r="B242" s="305" t="s">
        <v>663</v>
      </c>
      <c r="C242" s="289"/>
      <c r="D242" s="317"/>
      <c r="E242" s="297"/>
      <c r="F242" s="297"/>
      <c r="G242" s="289"/>
    </row>
    <row r="243" spans="1:7" s="290" customFormat="1" ht="22.5" x14ac:dyDescent="0.2">
      <c r="A243" s="289">
        <v>64</v>
      </c>
      <c r="B243" s="299" t="s">
        <v>664</v>
      </c>
      <c r="C243" s="289" t="s">
        <v>38</v>
      </c>
      <c r="D243" s="317">
        <v>1</v>
      </c>
      <c r="E243" s="297"/>
      <c r="F243" s="297">
        <f>+ROUND(D243*E243,0)</f>
        <v>0</v>
      </c>
      <c r="G243" s="289"/>
    </row>
    <row r="244" spans="1:7" s="290" customFormat="1" ht="12.75" x14ac:dyDescent="0.2">
      <c r="A244" s="289">
        <v>65</v>
      </c>
      <c r="B244" s="304" t="s">
        <v>641</v>
      </c>
      <c r="C244" s="289" t="s">
        <v>38</v>
      </c>
      <c r="D244" s="317">
        <v>1</v>
      </c>
      <c r="E244" s="297"/>
      <c r="F244" s="297">
        <f>+ROUND(D244*E244,0)</f>
        <v>0</v>
      </c>
      <c r="G244" s="289"/>
    </row>
    <row r="245" spans="1:7" s="290" customFormat="1" ht="12.75" x14ac:dyDescent="0.2">
      <c r="A245" s="289">
        <v>66</v>
      </c>
      <c r="B245" s="304" t="s">
        <v>658</v>
      </c>
      <c r="C245" s="289" t="s">
        <v>38</v>
      </c>
      <c r="D245" s="317">
        <v>1</v>
      </c>
      <c r="E245" s="297"/>
      <c r="F245" s="297">
        <f>+ROUND(D245*E245,0)</f>
        <v>0</v>
      </c>
      <c r="G245" s="289"/>
    </row>
    <row r="246" spans="1:7" s="290" customFormat="1" ht="12.75" x14ac:dyDescent="0.2">
      <c r="A246" s="289">
        <v>67</v>
      </c>
      <c r="B246" s="304" t="s">
        <v>659</v>
      </c>
      <c r="C246" s="289" t="s">
        <v>38</v>
      </c>
      <c r="D246" s="317">
        <v>1</v>
      </c>
      <c r="E246" s="297"/>
      <c r="F246" s="297">
        <f>+ROUND(D246*E246,0)</f>
        <v>0</v>
      </c>
      <c r="G246" s="289"/>
    </row>
    <row r="247" spans="1:7" s="290" customFormat="1" ht="12.75" x14ac:dyDescent="0.2">
      <c r="A247" s="308"/>
      <c r="B247" s="309" t="s">
        <v>665</v>
      </c>
      <c r="C247" s="309"/>
      <c r="D247" s="310"/>
      <c r="E247" s="311"/>
      <c r="F247" s="311"/>
      <c r="G247" s="312">
        <f>SUM(F249:F335)</f>
        <v>0</v>
      </c>
    </row>
    <row r="248" spans="1:7" s="290" customFormat="1" x14ac:dyDescent="0.25">
      <c r="B248" s="290" t="s">
        <v>634</v>
      </c>
      <c r="D248" s="306"/>
      <c r="E248" s="322"/>
      <c r="F248" s="322"/>
    </row>
    <row r="249" spans="1:7" s="290" customFormat="1" ht="12.75" x14ac:dyDescent="0.2">
      <c r="A249" s="285">
        <v>1</v>
      </c>
      <c r="B249" s="286" t="s">
        <v>666</v>
      </c>
      <c r="C249" s="285" t="s">
        <v>38</v>
      </c>
      <c r="D249" s="287">
        <v>29</v>
      </c>
      <c r="E249" s="288"/>
      <c r="F249" s="288">
        <f t="shared" ref="F249:F266" si="9">+ROUND(D249*E249,0)</f>
        <v>0</v>
      </c>
      <c r="G249" s="289"/>
    </row>
    <row r="250" spans="1:7" s="290" customFormat="1" ht="12.75" x14ac:dyDescent="0.2">
      <c r="A250" s="285">
        <v>2</v>
      </c>
      <c r="B250" s="286" t="s">
        <v>667</v>
      </c>
      <c r="C250" s="285" t="s">
        <v>38</v>
      </c>
      <c r="D250" s="287">
        <v>116</v>
      </c>
      <c r="E250" s="288"/>
      <c r="F250" s="288">
        <f t="shared" si="9"/>
        <v>0</v>
      </c>
      <c r="G250" s="289"/>
    </row>
    <row r="251" spans="1:7" s="290" customFormat="1" ht="12.75" x14ac:dyDescent="0.2">
      <c r="A251" s="285">
        <v>3</v>
      </c>
      <c r="B251" s="286" t="s">
        <v>668</v>
      </c>
      <c r="C251" s="285" t="s">
        <v>38</v>
      </c>
      <c r="D251" s="287">
        <v>75</v>
      </c>
      <c r="E251" s="288"/>
      <c r="F251" s="288">
        <f t="shared" si="9"/>
        <v>0</v>
      </c>
      <c r="G251" s="289"/>
    </row>
    <row r="252" spans="1:7" s="290" customFormat="1" ht="12.75" x14ac:dyDescent="0.2">
      <c r="A252" s="285">
        <v>4</v>
      </c>
      <c r="B252" s="286" t="s">
        <v>669</v>
      </c>
      <c r="C252" s="285" t="s">
        <v>38</v>
      </c>
      <c r="D252" s="287">
        <v>55</v>
      </c>
      <c r="E252" s="288"/>
      <c r="F252" s="288">
        <f t="shared" si="9"/>
        <v>0</v>
      </c>
      <c r="G252" s="289"/>
    </row>
    <row r="253" spans="1:7" s="290" customFormat="1" ht="12.75" x14ac:dyDescent="0.2">
      <c r="A253" s="285">
        <v>5</v>
      </c>
      <c r="B253" s="286" t="s">
        <v>670</v>
      </c>
      <c r="C253" s="285" t="s">
        <v>38</v>
      </c>
      <c r="D253" s="287">
        <v>7</v>
      </c>
      <c r="E253" s="288"/>
      <c r="F253" s="288">
        <f t="shared" si="9"/>
        <v>0</v>
      </c>
      <c r="G253" s="289"/>
    </row>
    <row r="254" spans="1:7" s="290" customFormat="1" ht="12.75" x14ac:dyDescent="0.2">
      <c r="A254" s="285">
        <v>6</v>
      </c>
      <c r="B254" s="285" t="s">
        <v>671</v>
      </c>
      <c r="C254" s="285" t="s">
        <v>38</v>
      </c>
      <c r="D254" s="287">
        <v>145</v>
      </c>
      <c r="E254" s="288"/>
      <c r="F254" s="288">
        <f t="shared" si="9"/>
        <v>0</v>
      </c>
      <c r="G254" s="289"/>
    </row>
    <row r="255" spans="1:7" s="290" customFormat="1" ht="12.75" x14ac:dyDescent="0.2">
      <c r="A255" s="285">
        <v>7</v>
      </c>
      <c r="B255" s="285" t="s">
        <v>672</v>
      </c>
      <c r="C255" s="285" t="s">
        <v>38</v>
      </c>
      <c r="D255" s="287">
        <v>9</v>
      </c>
      <c r="E255" s="288"/>
      <c r="F255" s="288">
        <f t="shared" si="9"/>
        <v>0</v>
      </c>
      <c r="G255" s="289"/>
    </row>
    <row r="256" spans="1:7" s="290" customFormat="1" ht="12.75" x14ac:dyDescent="0.2">
      <c r="A256" s="285">
        <v>8</v>
      </c>
      <c r="B256" s="285" t="s">
        <v>673</v>
      </c>
      <c r="C256" s="285" t="s">
        <v>38</v>
      </c>
      <c r="D256" s="287">
        <v>17</v>
      </c>
      <c r="E256" s="288"/>
      <c r="F256" s="288">
        <f t="shared" si="9"/>
        <v>0</v>
      </c>
      <c r="G256" s="289"/>
    </row>
    <row r="257" spans="1:7" s="290" customFormat="1" ht="12.75" x14ac:dyDescent="0.2">
      <c r="A257" s="285">
        <v>9</v>
      </c>
      <c r="B257" s="285" t="s">
        <v>674</v>
      </c>
      <c r="C257" s="285" t="s">
        <v>38</v>
      </c>
      <c r="D257" s="287">
        <v>145</v>
      </c>
      <c r="E257" s="323"/>
      <c r="F257" s="288">
        <f t="shared" si="9"/>
        <v>0</v>
      </c>
      <c r="G257" s="289"/>
    </row>
    <row r="258" spans="1:7" s="290" customFormat="1" ht="12.75" x14ac:dyDescent="0.2">
      <c r="A258" s="285">
        <v>10</v>
      </c>
      <c r="B258" s="285" t="s">
        <v>675</v>
      </c>
      <c r="C258" s="285" t="s">
        <v>38</v>
      </c>
      <c r="D258" s="287">
        <v>9</v>
      </c>
      <c r="E258" s="288"/>
      <c r="F258" s="288">
        <f t="shared" si="9"/>
        <v>0</v>
      </c>
      <c r="G258" s="289"/>
    </row>
    <row r="259" spans="1:7" s="290" customFormat="1" ht="12.75" x14ac:dyDescent="0.2">
      <c r="A259" s="285">
        <v>11</v>
      </c>
      <c r="B259" s="285" t="s">
        <v>676</v>
      </c>
      <c r="C259" s="285" t="s">
        <v>38</v>
      </c>
      <c r="D259" s="287">
        <v>17</v>
      </c>
      <c r="E259" s="288"/>
      <c r="F259" s="288">
        <f t="shared" si="9"/>
        <v>0</v>
      </c>
      <c r="G259" s="289"/>
    </row>
    <row r="260" spans="1:7" s="290" customFormat="1" ht="12.75" x14ac:dyDescent="0.2">
      <c r="A260" s="285">
        <v>12</v>
      </c>
      <c r="B260" s="285" t="s">
        <v>677</v>
      </c>
      <c r="C260" s="285" t="s">
        <v>38</v>
      </c>
      <c r="D260" s="287">
        <v>4</v>
      </c>
      <c r="E260" s="288"/>
      <c r="F260" s="288">
        <f t="shared" si="9"/>
        <v>0</v>
      </c>
      <c r="G260" s="289"/>
    </row>
    <row r="261" spans="1:7" s="290" customFormat="1" ht="12.75" x14ac:dyDescent="0.2">
      <c r="A261" s="285">
        <v>13</v>
      </c>
      <c r="B261" s="285" t="s">
        <v>678</v>
      </c>
      <c r="C261" s="285" t="s">
        <v>38</v>
      </c>
      <c r="D261" s="287">
        <v>2</v>
      </c>
      <c r="E261" s="288"/>
      <c r="F261" s="288">
        <f t="shared" si="9"/>
        <v>0</v>
      </c>
      <c r="G261" s="289"/>
    </row>
    <row r="262" spans="1:7" s="290" customFormat="1" ht="12.75" x14ac:dyDescent="0.2">
      <c r="A262" s="285">
        <v>14</v>
      </c>
      <c r="B262" s="324" t="s">
        <v>679</v>
      </c>
      <c r="C262" s="285" t="s">
        <v>38</v>
      </c>
      <c r="D262" s="287">
        <v>2</v>
      </c>
      <c r="E262" s="288"/>
      <c r="F262" s="288">
        <f t="shared" si="9"/>
        <v>0</v>
      </c>
      <c r="G262" s="289"/>
    </row>
    <row r="263" spans="1:7" s="290" customFormat="1" ht="12.75" x14ac:dyDescent="0.2">
      <c r="A263" s="285">
        <v>15</v>
      </c>
      <c r="B263" s="285" t="s">
        <v>680</v>
      </c>
      <c r="C263" s="285" t="s">
        <v>38</v>
      </c>
      <c r="D263" s="287">
        <v>2</v>
      </c>
      <c r="E263" s="288"/>
      <c r="F263" s="288">
        <f t="shared" si="9"/>
        <v>0</v>
      </c>
      <c r="G263" s="289"/>
    </row>
    <row r="264" spans="1:7" s="290" customFormat="1" ht="12.75" x14ac:dyDescent="0.2">
      <c r="A264" s="285">
        <v>15</v>
      </c>
      <c r="B264" s="285" t="s">
        <v>681</v>
      </c>
      <c r="C264" s="285" t="s">
        <v>38</v>
      </c>
      <c r="D264" s="287">
        <v>2</v>
      </c>
      <c r="E264" s="288"/>
      <c r="F264" s="288">
        <f t="shared" si="9"/>
        <v>0</v>
      </c>
      <c r="G264" s="289"/>
    </row>
    <row r="265" spans="1:7" s="290" customFormat="1" ht="12.75" x14ac:dyDescent="0.2">
      <c r="A265" s="285">
        <v>17</v>
      </c>
      <c r="B265" s="286" t="s">
        <v>682</v>
      </c>
      <c r="C265" s="285" t="s">
        <v>38</v>
      </c>
      <c r="D265" s="287">
        <v>2</v>
      </c>
      <c r="E265" s="288"/>
      <c r="F265" s="288">
        <f t="shared" si="9"/>
        <v>0</v>
      </c>
      <c r="G265" s="289"/>
    </row>
    <row r="266" spans="1:7" s="290" customFormat="1" ht="12.75" x14ac:dyDescent="0.2">
      <c r="A266" s="285">
        <v>18</v>
      </c>
      <c r="B266" s="285" t="s">
        <v>683</v>
      </c>
      <c r="C266" s="285" t="s">
        <v>38</v>
      </c>
      <c r="D266" s="287">
        <f>D263</f>
        <v>2</v>
      </c>
      <c r="E266" s="288"/>
      <c r="F266" s="288">
        <f t="shared" si="9"/>
        <v>0</v>
      </c>
      <c r="G266" s="289"/>
    </row>
    <row r="267" spans="1:7" s="290" customFormat="1" x14ac:dyDescent="0.25">
      <c r="A267" s="285"/>
      <c r="B267" s="290" t="s">
        <v>652</v>
      </c>
      <c r="D267" s="306"/>
      <c r="E267" s="322"/>
      <c r="F267" s="322"/>
      <c r="G267" s="289"/>
    </row>
    <row r="268" spans="1:7" s="290" customFormat="1" ht="12.75" x14ac:dyDescent="0.2">
      <c r="A268" s="285">
        <v>19</v>
      </c>
      <c r="B268" s="286" t="s">
        <v>666</v>
      </c>
      <c r="C268" s="285" t="s">
        <v>38</v>
      </c>
      <c r="D268" s="287">
        <v>13</v>
      </c>
      <c r="E268" s="288"/>
      <c r="F268" s="288">
        <f t="shared" ref="F268:F277" si="10">+ROUND(D268*E268,0)</f>
        <v>0</v>
      </c>
      <c r="G268" s="289"/>
    </row>
    <row r="269" spans="1:7" s="290" customFormat="1" ht="12.75" x14ac:dyDescent="0.2">
      <c r="A269" s="285">
        <v>20</v>
      </c>
      <c r="B269" s="286" t="s">
        <v>667</v>
      </c>
      <c r="C269" s="285" t="s">
        <v>38</v>
      </c>
      <c r="D269" s="287">
        <v>70</v>
      </c>
      <c r="E269" s="288"/>
      <c r="F269" s="288">
        <f t="shared" si="10"/>
        <v>0</v>
      </c>
      <c r="G269" s="289"/>
    </row>
    <row r="270" spans="1:7" s="290" customFormat="1" ht="12.75" x14ac:dyDescent="0.2">
      <c r="A270" s="285">
        <v>21</v>
      </c>
      <c r="B270" s="286" t="s">
        <v>668</v>
      </c>
      <c r="C270" s="285" t="s">
        <v>38</v>
      </c>
      <c r="D270" s="287">
        <v>82</v>
      </c>
      <c r="E270" s="288"/>
      <c r="F270" s="288">
        <f t="shared" si="10"/>
        <v>0</v>
      </c>
      <c r="G270" s="289"/>
    </row>
    <row r="271" spans="1:7" s="290" customFormat="1" ht="12.75" x14ac:dyDescent="0.2">
      <c r="A271" s="285">
        <v>22</v>
      </c>
      <c r="B271" s="286" t="s">
        <v>669</v>
      </c>
      <c r="C271" s="285" t="s">
        <v>38</v>
      </c>
      <c r="D271" s="287">
        <v>25</v>
      </c>
      <c r="E271" s="288"/>
      <c r="F271" s="288">
        <f t="shared" si="10"/>
        <v>0</v>
      </c>
      <c r="G271" s="289"/>
    </row>
    <row r="272" spans="1:7" s="290" customFormat="1" ht="12.75" x14ac:dyDescent="0.2">
      <c r="A272" s="285">
        <v>23</v>
      </c>
      <c r="B272" s="286" t="s">
        <v>670</v>
      </c>
      <c r="C272" s="285" t="s">
        <v>38</v>
      </c>
      <c r="D272" s="287">
        <v>9</v>
      </c>
      <c r="E272" s="288"/>
      <c r="F272" s="288">
        <f t="shared" si="10"/>
        <v>0</v>
      </c>
      <c r="G272" s="289"/>
    </row>
    <row r="273" spans="1:7" s="290" customFormat="1" ht="12.75" x14ac:dyDescent="0.2">
      <c r="A273" s="285">
        <v>24</v>
      </c>
      <c r="B273" s="285" t="s">
        <v>671</v>
      </c>
      <c r="C273" s="285" t="s">
        <v>38</v>
      </c>
      <c r="D273" s="287">
        <v>83</v>
      </c>
      <c r="E273" s="288"/>
      <c r="F273" s="288">
        <f t="shared" si="10"/>
        <v>0</v>
      </c>
      <c r="G273" s="289"/>
    </row>
    <row r="274" spans="1:7" s="290" customFormat="1" ht="12.75" x14ac:dyDescent="0.2">
      <c r="A274" s="285">
        <v>25</v>
      </c>
      <c r="B274" s="285" t="s">
        <v>672</v>
      </c>
      <c r="C274" s="285" t="s">
        <v>38</v>
      </c>
      <c r="D274" s="287">
        <v>25</v>
      </c>
      <c r="E274" s="288"/>
      <c r="F274" s="288">
        <f t="shared" si="10"/>
        <v>0</v>
      </c>
      <c r="G274" s="289"/>
    </row>
    <row r="275" spans="1:7" s="290" customFormat="1" ht="12.75" x14ac:dyDescent="0.2">
      <c r="A275" s="285">
        <v>26</v>
      </c>
      <c r="B275" s="285" t="s">
        <v>673</v>
      </c>
      <c r="C275" s="285" t="s">
        <v>38</v>
      </c>
      <c r="D275" s="287">
        <v>13</v>
      </c>
      <c r="E275" s="288"/>
      <c r="F275" s="288">
        <f t="shared" si="10"/>
        <v>0</v>
      </c>
      <c r="G275" s="289"/>
    </row>
    <row r="276" spans="1:7" s="290" customFormat="1" ht="12.75" x14ac:dyDescent="0.2">
      <c r="A276" s="285">
        <v>27</v>
      </c>
      <c r="B276" s="285" t="s">
        <v>674</v>
      </c>
      <c r="C276" s="285" t="s">
        <v>38</v>
      </c>
      <c r="D276" s="287">
        <f>D269+D268</f>
        <v>83</v>
      </c>
      <c r="E276" s="323"/>
      <c r="F276" s="288">
        <f t="shared" si="10"/>
        <v>0</v>
      </c>
      <c r="G276" s="289"/>
    </row>
    <row r="277" spans="1:7" s="290" customFormat="1" ht="12.75" x14ac:dyDescent="0.2">
      <c r="A277" s="285">
        <v>28</v>
      </c>
      <c r="B277" s="285" t="s">
        <v>675</v>
      </c>
      <c r="C277" s="285" t="s">
        <v>38</v>
      </c>
      <c r="D277" s="287">
        <f>D271</f>
        <v>25</v>
      </c>
      <c r="E277" s="288"/>
      <c r="F277" s="288">
        <f t="shared" si="10"/>
        <v>0</v>
      </c>
      <c r="G277" s="289"/>
    </row>
    <row r="278" spans="1:7" s="290" customFormat="1" ht="12.75" x14ac:dyDescent="0.2">
      <c r="A278" s="285">
        <v>29</v>
      </c>
      <c r="B278" s="285" t="s">
        <v>677</v>
      </c>
      <c r="C278" s="285" t="s">
        <v>38</v>
      </c>
      <c r="D278" s="287">
        <v>2</v>
      </c>
      <c r="E278" s="288"/>
      <c r="F278" s="288">
        <f>+ROUND(D278*E278,0)</f>
        <v>0</v>
      </c>
      <c r="G278" s="289"/>
    </row>
    <row r="279" spans="1:7" s="290" customFormat="1" ht="12.75" x14ac:dyDescent="0.2">
      <c r="A279" s="285">
        <v>30</v>
      </c>
      <c r="B279" s="285" t="s">
        <v>680</v>
      </c>
      <c r="C279" s="285" t="s">
        <v>38</v>
      </c>
      <c r="D279" s="287">
        <v>2</v>
      </c>
      <c r="E279" s="288"/>
      <c r="F279" s="288">
        <f>+ROUND(D279*E279,0)</f>
        <v>0</v>
      </c>
      <c r="G279" s="289"/>
    </row>
    <row r="280" spans="1:7" s="290" customFormat="1" ht="12.75" x14ac:dyDescent="0.2">
      <c r="A280" s="285">
        <v>31</v>
      </c>
      <c r="B280" s="285" t="s">
        <v>681</v>
      </c>
      <c r="C280" s="285" t="s">
        <v>38</v>
      </c>
      <c r="D280" s="287">
        <v>2</v>
      </c>
      <c r="E280" s="288"/>
      <c r="F280" s="288">
        <f>+ROUND(D280*E280,0)</f>
        <v>0</v>
      </c>
      <c r="G280" s="289"/>
    </row>
    <row r="281" spans="1:7" s="290" customFormat="1" ht="12.75" x14ac:dyDescent="0.2">
      <c r="A281" s="285">
        <v>32</v>
      </c>
      <c r="B281" s="286" t="s">
        <v>682</v>
      </c>
      <c r="C281" s="285" t="s">
        <v>38</v>
      </c>
      <c r="D281" s="287">
        <v>2</v>
      </c>
      <c r="E281" s="288"/>
      <c r="F281" s="288">
        <f>+ROUND(D281*E281,0)</f>
        <v>0</v>
      </c>
      <c r="G281" s="289"/>
    </row>
    <row r="282" spans="1:7" s="290" customFormat="1" ht="12.75" x14ac:dyDescent="0.2">
      <c r="A282" s="285">
        <v>33</v>
      </c>
      <c r="B282" s="285" t="s">
        <v>683</v>
      </c>
      <c r="C282" s="285" t="s">
        <v>38</v>
      </c>
      <c r="D282" s="287">
        <v>2</v>
      </c>
      <c r="E282" s="288"/>
      <c r="F282" s="288">
        <f>+ROUND(D282*E282,0)</f>
        <v>0</v>
      </c>
      <c r="G282" s="289"/>
    </row>
    <row r="283" spans="1:7" s="290" customFormat="1" x14ac:dyDescent="0.25">
      <c r="B283" s="290" t="s">
        <v>662</v>
      </c>
      <c r="D283" s="306"/>
      <c r="E283" s="322"/>
      <c r="F283" s="322"/>
      <c r="G283" s="289"/>
    </row>
    <row r="284" spans="1:7" s="290" customFormat="1" ht="12.75" x14ac:dyDescent="0.2">
      <c r="A284" s="285">
        <v>34</v>
      </c>
      <c r="B284" s="286" t="s">
        <v>666</v>
      </c>
      <c r="C284" s="285" t="s">
        <v>38</v>
      </c>
      <c r="D284" s="287">
        <v>2</v>
      </c>
      <c r="E284" s="288"/>
      <c r="F284" s="288">
        <f t="shared" ref="F284:F298" si="11">+ROUND(D284*E284,0)</f>
        <v>0</v>
      </c>
      <c r="G284" s="289"/>
    </row>
    <row r="285" spans="1:7" s="290" customFormat="1" ht="12.75" x14ac:dyDescent="0.2">
      <c r="A285" s="285">
        <v>35</v>
      </c>
      <c r="B285" s="286" t="s">
        <v>667</v>
      </c>
      <c r="C285" s="285" t="s">
        <v>38</v>
      </c>
      <c r="D285" s="287">
        <v>67</v>
      </c>
      <c r="E285" s="288"/>
      <c r="F285" s="288">
        <f t="shared" si="11"/>
        <v>0</v>
      </c>
      <c r="G285" s="289"/>
    </row>
    <row r="286" spans="1:7" s="290" customFormat="1" ht="12.75" x14ac:dyDescent="0.2">
      <c r="A286" s="285">
        <v>36</v>
      </c>
      <c r="B286" s="286" t="s">
        <v>668</v>
      </c>
      <c r="C286" s="285" t="s">
        <v>38</v>
      </c>
      <c r="D286" s="287">
        <v>25</v>
      </c>
      <c r="E286" s="288"/>
      <c r="F286" s="288">
        <f t="shared" si="11"/>
        <v>0</v>
      </c>
      <c r="G286" s="289"/>
    </row>
    <row r="287" spans="1:7" s="290" customFormat="1" ht="12.75" x14ac:dyDescent="0.2">
      <c r="A287" s="285">
        <v>37</v>
      </c>
      <c r="B287" s="286" t="s">
        <v>669</v>
      </c>
      <c r="C287" s="285" t="s">
        <v>38</v>
      </c>
      <c r="D287" s="287">
        <v>15</v>
      </c>
      <c r="E287" s="288"/>
      <c r="F287" s="288">
        <f t="shared" si="11"/>
        <v>0</v>
      </c>
      <c r="G287" s="289"/>
    </row>
    <row r="288" spans="1:7" s="290" customFormat="1" ht="12.75" x14ac:dyDescent="0.2">
      <c r="A288" s="285">
        <v>38</v>
      </c>
      <c r="B288" s="286" t="s">
        <v>670</v>
      </c>
      <c r="C288" s="285" t="s">
        <v>38</v>
      </c>
      <c r="D288" s="287">
        <v>4</v>
      </c>
      <c r="E288" s="288"/>
      <c r="F288" s="288">
        <f t="shared" si="11"/>
        <v>0</v>
      </c>
      <c r="G288" s="289"/>
    </row>
    <row r="289" spans="1:7" s="290" customFormat="1" ht="12.75" x14ac:dyDescent="0.2">
      <c r="A289" s="285">
        <v>39</v>
      </c>
      <c r="B289" s="285" t="s">
        <v>671</v>
      </c>
      <c r="C289" s="285" t="s">
        <v>38</v>
      </c>
      <c r="D289" s="287">
        <v>69</v>
      </c>
      <c r="E289" s="288"/>
      <c r="F289" s="288">
        <f t="shared" si="11"/>
        <v>0</v>
      </c>
      <c r="G289" s="289"/>
    </row>
    <row r="290" spans="1:7" s="290" customFormat="1" ht="12.75" x14ac:dyDescent="0.2">
      <c r="A290" s="285">
        <v>40</v>
      </c>
      <c r="B290" s="285" t="s">
        <v>672</v>
      </c>
      <c r="C290" s="285" t="s">
        <v>38</v>
      </c>
      <c r="D290" s="287">
        <v>24</v>
      </c>
      <c r="E290" s="288"/>
      <c r="F290" s="288">
        <f t="shared" si="11"/>
        <v>0</v>
      </c>
      <c r="G290" s="289"/>
    </row>
    <row r="291" spans="1:7" s="290" customFormat="1" ht="12.75" x14ac:dyDescent="0.2">
      <c r="A291" s="285">
        <v>41</v>
      </c>
      <c r="B291" s="285" t="s">
        <v>673</v>
      </c>
      <c r="C291" s="285" t="s">
        <v>38</v>
      </c>
      <c r="D291" s="287">
        <v>9</v>
      </c>
      <c r="E291" s="288"/>
      <c r="F291" s="288">
        <f t="shared" si="11"/>
        <v>0</v>
      </c>
      <c r="G291" s="289"/>
    </row>
    <row r="292" spans="1:7" s="290" customFormat="1" ht="12.75" x14ac:dyDescent="0.2">
      <c r="A292" s="285">
        <v>42</v>
      </c>
      <c r="B292" s="285" t="s">
        <v>674</v>
      </c>
      <c r="C292" s="285" t="s">
        <v>38</v>
      </c>
      <c r="D292" s="287">
        <f>D285+D284</f>
        <v>69</v>
      </c>
      <c r="E292" s="323"/>
      <c r="F292" s="288">
        <f t="shared" si="11"/>
        <v>0</v>
      </c>
      <c r="G292" s="289"/>
    </row>
    <row r="293" spans="1:7" s="290" customFormat="1" ht="12.75" x14ac:dyDescent="0.2">
      <c r="A293" s="285">
        <v>43</v>
      </c>
      <c r="B293" s="285" t="s">
        <v>675</v>
      </c>
      <c r="C293" s="285" t="s">
        <v>38</v>
      </c>
      <c r="D293" s="287">
        <v>24</v>
      </c>
      <c r="E293" s="288"/>
      <c r="F293" s="288">
        <f t="shared" si="11"/>
        <v>0</v>
      </c>
      <c r="G293" s="289"/>
    </row>
    <row r="294" spans="1:7" s="290" customFormat="1" ht="12.75" x14ac:dyDescent="0.2">
      <c r="A294" s="285">
        <v>44</v>
      </c>
      <c r="B294" s="285" t="s">
        <v>677</v>
      </c>
      <c r="C294" s="285" t="s">
        <v>38</v>
      </c>
      <c r="D294" s="287">
        <v>2</v>
      </c>
      <c r="E294" s="288"/>
      <c r="F294" s="288">
        <f t="shared" si="11"/>
        <v>0</v>
      </c>
      <c r="G294" s="289"/>
    </row>
    <row r="295" spans="1:7" s="290" customFormat="1" ht="12.75" x14ac:dyDescent="0.2">
      <c r="A295" s="285">
        <v>45</v>
      </c>
      <c r="B295" s="285" t="s">
        <v>680</v>
      </c>
      <c r="C295" s="285" t="s">
        <v>38</v>
      </c>
      <c r="D295" s="287">
        <v>2</v>
      </c>
      <c r="E295" s="288"/>
      <c r="F295" s="288">
        <f t="shared" si="11"/>
        <v>0</v>
      </c>
      <c r="G295" s="289"/>
    </row>
    <row r="296" spans="1:7" s="290" customFormat="1" ht="12.75" x14ac:dyDescent="0.2">
      <c r="A296" s="285">
        <v>46</v>
      </c>
      <c r="B296" s="285" t="s">
        <v>681</v>
      </c>
      <c r="C296" s="285" t="s">
        <v>38</v>
      </c>
      <c r="D296" s="287">
        <v>2</v>
      </c>
      <c r="E296" s="288"/>
      <c r="F296" s="288">
        <f t="shared" si="11"/>
        <v>0</v>
      </c>
      <c r="G296" s="289"/>
    </row>
    <row r="297" spans="1:7" s="290" customFormat="1" ht="12.75" x14ac:dyDescent="0.2">
      <c r="A297" s="285">
        <v>47</v>
      </c>
      <c r="B297" s="286" t="s">
        <v>682</v>
      </c>
      <c r="C297" s="285" t="s">
        <v>38</v>
      </c>
      <c r="D297" s="287">
        <v>2</v>
      </c>
      <c r="E297" s="288"/>
      <c r="F297" s="288">
        <f t="shared" si="11"/>
        <v>0</v>
      </c>
      <c r="G297" s="289"/>
    </row>
    <row r="298" spans="1:7" s="290" customFormat="1" ht="12.75" x14ac:dyDescent="0.2">
      <c r="A298" s="285">
        <v>48</v>
      </c>
      <c r="B298" s="285" t="s">
        <v>683</v>
      </c>
      <c r="C298" s="285" t="s">
        <v>38</v>
      </c>
      <c r="D298" s="287">
        <v>2</v>
      </c>
      <c r="E298" s="288"/>
      <c r="F298" s="288">
        <f t="shared" si="11"/>
        <v>0</v>
      </c>
      <c r="G298" s="289"/>
    </row>
    <row r="299" spans="1:7" s="290" customFormat="1" x14ac:dyDescent="0.25">
      <c r="B299" s="290" t="s">
        <v>663</v>
      </c>
      <c r="D299" s="306"/>
      <c r="E299" s="322"/>
      <c r="F299" s="322"/>
      <c r="G299" s="289"/>
    </row>
    <row r="300" spans="1:7" s="290" customFormat="1" ht="12.75" x14ac:dyDescent="0.2">
      <c r="A300" s="285">
        <v>49</v>
      </c>
      <c r="B300" s="286" t="s">
        <v>666</v>
      </c>
      <c r="C300" s="285" t="s">
        <v>38</v>
      </c>
      <c r="D300" s="287">
        <v>18</v>
      </c>
      <c r="E300" s="288"/>
      <c r="F300" s="288">
        <f t="shared" ref="F300:F314" si="12">+ROUND(D300*E300,0)</f>
        <v>0</v>
      </c>
      <c r="G300" s="289"/>
    </row>
    <row r="301" spans="1:7" s="290" customFormat="1" ht="12.75" x14ac:dyDescent="0.2">
      <c r="A301" s="285">
        <v>50</v>
      </c>
      <c r="B301" s="286" t="s">
        <v>667</v>
      </c>
      <c r="C301" s="285" t="s">
        <v>38</v>
      </c>
      <c r="D301" s="287">
        <v>27</v>
      </c>
      <c r="E301" s="288"/>
      <c r="F301" s="288">
        <f t="shared" si="12"/>
        <v>0</v>
      </c>
      <c r="G301" s="289"/>
    </row>
    <row r="302" spans="1:7" s="290" customFormat="1" ht="12.75" x14ac:dyDescent="0.2">
      <c r="A302" s="285">
        <v>51</v>
      </c>
      <c r="B302" s="286" t="s">
        <v>668</v>
      </c>
      <c r="C302" s="285" t="s">
        <v>38</v>
      </c>
      <c r="D302" s="287">
        <v>11</v>
      </c>
      <c r="E302" s="288"/>
      <c r="F302" s="288">
        <f t="shared" si="12"/>
        <v>0</v>
      </c>
      <c r="G302" s="289"/>
    </row>
    <row r="303" spans="1:7" s="290" customFormat="1" ht="12.75" x14ac:dyDescent="0.2">
      <c r="A303" s="285">
        <v>52</v>
      </c>
      <c r="B303" s="286" t="s">
        <v>669</v>
      </c>
      <c r="C303" s="285" t="s">
        <v>38</v>
      </c>
      <c r="D303" s="287">
        <v>4</v>
      </c>
      <c r="E303" s="288"/>
      <c r="F303" s="288">
        <f t="shared" si="12"/>
        <v>0</v>
      </c>
      <c r="G303" s="289"/>
    </row>
    <row r="304" spans="1:7" s="290" customFormat="1" ht="12.75" x14ac:dyDescent="0.2">
      <c r="A304" s="285">
        <v>53</v>
      </c>
      <c r="B304" s="286" t="s">
        <v>670</v>
      </c>
      <c r="C304" s="285" t="s">
        <v>38</v>
      </c>
      <c r="D304" s="287">
        <v>1</v>
      </c>
      <c r="E304" s="288"/>
      <c r="F304" s="288">
        <f t="shared" si="12"/>
        <v>0</v>
      </c>
      <c r="G304" s="289"/>
    </row>
    <row r="305" spans="1:7" s="290" customFormat="1" ht="12.75" x14ac:dyDescent="0.2">
      <c r="A305" s="285">
        <v>54</v>
      </c>
      <c r="B305" s="285" t="s">
        <v>671</v>
      </c>
      <c r="C305" s="285" t="s">
        <v>38</v>
      </c>
      <c r="D305" s="287">
        <v>45</v>
      </c>
      <c r="E305" s="288"/>
      <c r="F305" s="288">
        <f t="shared" si="12"/>
        <v>0</v>
      </c>
      <c r="G305" s="289"/>
    </row>
    <row r="306" spans="1:7" s="290" customFormat="1" ht="12.75" x14ac:dyDescent="0.2">
      <c r="A306" s="285">
        <v>55</v>
      </c>
      <c r="B306" s="285" t="s">
        <v>672</v>
      </c>
      <c r="C306" s="285" t="s">
        <v>38</v>
      </c>
      <c r="D306" s="287">
        <v>18</v>
      </c>
      <c r="E306" s="288"/>
      <c r="F306" s="288">
        <f t="shared" si="12"/>
        <v>0</v>
      </c>
      <c r="G306" s="289"/>
    </row>
    <row r="307" spans="1:7" s="290" customFormat="1" ht="12.75" x14ac:dyDescent="0.2">
      <c r="A307" s="285">
        <v>56</v>
      </c>
      <c r="B307" s="285" t="s">
        <v>684</v>
      </c>
      <c r="C307" s="285" t="s">
        <v>38</v>
      </c>
      <c r="D307" s="287">
        <v>1</v>
      </c>
      <c r="E307" s="288"/>
      <c r="F307" s="288">
        <f t="shared" si="12"/>
        <v>0</v>
      </c>
      <c r="G307" s="289"/>
    </row>
    <row r="308" spans="1:7" s="290" customFormat="1" ht="12.75" x14ac:dyDescent="0.2">
      <c r="A308" s="285">
        <v>57</v>
      </c>
      <c r="B308" s="285" t="s">
        <v>674</v>
      </c>
      <c r="C308" s="285" t="s">
        <v>38</v>
      </c>
      <c r="D308" s="287">
        <f>D301+D300</f>
        <v>45</v>
      </c>
      <c r="E308" s="323"/>
      <c r="F308" s="288">
        <f t="shared" si="12"/>
        <v>0</v>
      </c>
      <c r="G308" s="289"/>
    </row>
    <row r="309" spans="1:7" s="290" customFormat="1" ht="12.75" x14ac:dyDescent="0.2">
      <c r="A309" s="285">
        <v>58</v>
      </c>
      <c r="B309" s="285" t="s">
        <v>675</v>
      </c>
      <c r="C309" s="285" t="s">
        <v>38</v>
      </c>
      <c r="D309" s="287">
        <f>D306</f>
        <v>18</v>
      </c>
      <c r="E309" s="288"/>
      <c r="F309" s="288">
        <f t="shared" si="12"/>
        <v>0</v>
      </c>
      <c r="G309" s="289"/>
    </row>
    <row r="310" spans="1:7" s="290" customFormat="1" ht="12.75" x14ac:dyDescent="0.2">
      <c r="A310" s="285">
        <v>59</v>
      </c>
      <c r="B310" s="285" t="s">
        <v>677</v>
      </c>
      <c r="C310" s="285" t="s">
        <v>38</v>
      </c>
      <c r="D310" s="287">
        <v>1</v>
      </c>
      <c r="E310" s="288"/>
      <c r="F310" s="288">
        <f t="shared" si="12"/>
        <v>0</v>
      </c>
      <c r="G310" s="289"/>
    </row>
    <row r="311" spans="1:7" s="290" customFormat="1" ht="12.75" x14ac:dyDescent="0.2">
      <c r="A311" s="285">
        <v>61</v>
      </c>
      <c r="B311" s="285" t="s">
        <v>680</v>
      </c>
      <c r="C311" s="285"/>
      <c r="D311" s="287">
        <v>1</v>
      </c>
      <c r="E311" s="288"/>
      <c r="F311" s="288"/>
      <c r="G311" s="289"/>
    </row>
    <row r="312" spans="1:7" s="290" customFormat="1" ht="12.75" x14ac:dyDescent="0.2">
      <c r="A312" s="285">
        <v>62</v>
      </c>
      <c r="B312" s="285" t="s">
        <v>681</v>
      </c>
      <c r="C312" s="285" t="s">
        <v>38</v>
      </c>
      <c r="D312" s="287">
        <v>1</v>
      </c>
      <c r="E312" s="288"/>
      <c r="F312" s="288">
        <f t="shared" si="12"/>
        <v>0</v>
      </c>
      <c r="G312" s="289"/>
    </row>
    <row r="313" spans="1:7" s="290" customFormat="1" ht="12.75" x14ac:dyDescent="0.2">
      <c r="A313" s="285">
        <v>63</v>
      </c>
      <c r="B313" s="286" t="s">
        <v>682</v>
      </c>
      <c r="C313" s="285" t="s">
        <v>394</v>
      </c>
      <c r="D313" s="287">
        <v>1</v>
      </c>
      <c r="E313" s="288"/>
      <c r="F313" s="288">
        <f t="shared" si="12"/>
        <v>0</v>
      </c>
      <c r="G313" s="289"/>
    </row>
    <row r="314" spans="1:7" s="290" customFormat="1" ht="12.75" x14ac:dyDescent="0.2">
      <c r="A314" s="285">
        <v>64</v>
      </c>
      <c r="B314" s="286" t="s">
        <v>685</v>
      </c>
      <c r="C314" s="285" t="s">
        <v>394</v>
      </c>
      <c r="D314" s="287">
        <v>1</v>
      </c>
      <c r="E314" s="288"/>
      <c r="F314" s="288">
        <f t="shared" si="12"/>
        <v>0</v>
      </c>
      <c r="G314" s="289"/>
    </row>
    <row r="315" spans="1:7" s="290" customFormat="1" x14ac:dyDescent="0.25">
      <c r="B315" s="290" t="s">
        <v>686</v>
      </c>
      <c r="D315" s="306"/>
      <c r="E315" s="322"/>
      <c r="F315" s="322"/>
      <c r="G315" s="289"/>
    </row>
    <row r="316" spans="1:7" s="290" customFormat="1" ht="12.75" x14ac:dyDescent="0.2">
      <c r="A316" s="285">
        <v>65</v>
      </c>
      <c r="B316" s="286" t="s">
        <v>666</v>
      </c>
      <c r="C316" s="285" t="s">
        <v>38</v>
      </c>
      <c r="D316" s="287">
        <v>11</v>
      </c>
      <c r="E316" s="288"/>
      <c r="F316" s="288">
        <f t="shared" ref="F316:F321" si="13">+ROUND(D316*E316,0)</f>
        <v>0</v>
      </c>
      <c r="G316" s="289"/>
    </row>
    <row r="317" spans="1:7" s="290" customFormat="1" ht="12.75" x14ac:dyDescent="0.2">
      <c r="A317" s="285">
        <v>66</v>
      </c>
      <c r="B317" s="286" t="s">
        <v>667</v>
      </c>
      <c r="C317" s="285" t="s">
        <v>38</v>
      </c>
      <c r="D317" s="287">
        <v>1</v>
      </c>
      <c r="E317" s="288"/>
      <c r="F317" s="288">
        <f t="shared" si="13"/>
        <v>0</v>
      </c>
      <c r="G317" s="289"/>
    </row>
    <row r="318" spans="1:7" s="290" customFormat="1" ht="12.75" x14ac:dyDescent="0.2">
      <c r="A318" s="285">
        <v>67</v>
      </c>
      <c r="B318" s="286" t="s">
        <v>668</v>
      </c>
      <c r="C318" s="285" t="s">
        <v>38</v>
      </c>
      <c r="D318" s="287">
        <v>2</v>
      </c>
      <c r="E318" s="288"/>
      <c r="F318" s="288">
        <f t="shared" si="13"/>
        <v>0</v>
      </c>
      <c r="G318" s="289"/>
    </row>
    <row r="319" spans="1:7" s="290" customFormat="1" ht="12.75" x14ac:dyDescent="0.2">
      <c r="A319" s="285">
        <v>68</v>
      </c>
      <c r="B319" s="286" t="s">
        <v>669</v>
      </c>
      <c r="C319" s="285" t="s">
        <v>38</v>
      </c>
      <c r="D319" s="287">
        <v>1</v>
      </c>
      <c r="E319" s="288"/>
      <c r="F319" s="288">
        <f t="shared" si="13"/>
        <v>0</v>
      </c>
      <c r="G319" s="289"/>
    </row>
    <row r="320" spans="1:7" s="290" customFormat="1" ht="12.75" x14ac:dyDescent="0.2">
      <c r="A320" s="285">
        <v>69</v>
      </c>
      <c r="B320" s="285" t="s">
        <v>674</v>
      </c>
      <c r="C320" s="285" t="s">
        <v>38</v>
      </c>
      <c r="D320" s="287">
        <f>D317+D316</f>
        <v>12</v>
      </c>
      <c r="E320" s="323"/>
      <c r="F320" s="288">
        <f t="shared" si="13"/>
        <v>0</v>
      </c>
      <c r="G320" s="289"/>
    </row>
    <row r="321" spans="1:7" s="290" customFormat="1" ht="12.75" x14ac:dyDescent="0.2">
      <c r="A321" s="285">
        <v>70</v>
      </c>
      <c r="B321" s="285" t="s">
        <v>677</v>
      </c>
      <c r="C321" s="285" t="s">
        <v>38</v>
      </c>
      <c r="D321" s="287">
        <v>1</v>
      </c>
      <c r="E321" s="288"/>
      <c r="F321" s="288">
        <f t="shared" si="13"/>
        <v>0</v>
      </c>
      <c r="G321" s="289"/>
    </row>
    <row r="322" spans="1:7" s="290" customFormat="1" ht="12.75" x14ac:dyDescent="0.2">
      <c r="A322" s="285">
        <v>71</v>
      </c>
      <c r="B322" s="285" t="s">
        <v>681</v>
      </c>
      <c r="C322" s="285" t="s">
        <v>38</v>
      </c>
      <c r="D322" s="287">
        <v>1</v>
      </c>
      <c r="E322" s="288"/>
      <c r="F322" s="288">
        <f>+ROUND(D322*E322,0)</f>
        <v>0</v>
      </c>
      <c r="G322" s="289"/>
    </row>
    <row r="323" spans="1:7" s="290" customFormat="1" ht="12.75" x14ac:dyDescent="0.2">
      <c r="A323" s="285">
        <v>72</v>
      </c>
      <c r="B323" s="286" t="s">
        <v>682</v>
      </c>
      <c r="C323" s="285" t="s">
        <v>394</v>
      </c>
      <c r="D323" s="287">
        <v>1</v>
      </c>
      <c r="E323" s="288"/>
      <c r="F323" s="288">
        <f>+ROUND(D323*E323,0)</f>
        <v>0</v>
      </c>
      <c r="G323" s="289"/>
    </row>
    <row r="324" spans="1:7" s="290" customFormat="1" ht="12.75" x14ac:dyDescent="0.2">
      <c r="A324" s="285">
        <v>73</v>
      </c>
      <c r="B324" s="286" t="s">
        <v>685</v>
      </c>
      <c r="C324" s="285" t="s">
        <v>394</v>
      </c>
      <c r="D324" s="287">
        <v>1</v>
      </c>
      <c r="E324" s="288"/>
      <c r="F324" s="288">
        <f>+ROUND(D324*E324,0)</f>
        <v>0</v>
      </c>
      <c r="G324" s="289"/>
    </row>
    <row r="325" spans="1:7" s="290" customFormat="1" ht="12.75" x14ac:dyDescent="0.2">
      <c r="A325" s="308"/>
      <c r="B325" s="309" t="s">
        <v>687</v>
      </c>
      <c r="C325" s="309"/>
      <c r="D325" s="310"/>
      <c r="E325" s="311"/>
      <c r="F325" s="311"/>
      <c r="G325" s="325">
        <f>SUM(F326:F335)</f>
        <v>0</v>
      </c>
    </row>
    <row r="326" spans="1:7" s="290" customFormat="1" x14ac:dyDescent="0.25">
      <c r="B326" s="285" t="s">
        <v>688</v>
      </c>
      <c r="D326" s="306"/>
      <c r="E326" s="322"/>
      <c r="F326" s="322"/>
      <c r="G326" s="289"/>
    </row>
    <row r="327" spans="1:7" s="290" customFormat="1" ht="12.75" x14ac:dyDescent="0.2">
      <c r="A327" s="285">
        <v>1</v>
      </c>
      <c r="B327" s="285" t="s">
        <v>689</v>
      </c>
      <c r="C327" s="285" t="s">
        <v>38</v>
      </c>
      <c r="D327" s="287">
        <v>1</v>
      </c>
      <c r="E327" s="288"/>
      <c r="F327" s="288">
        <f>+ROUND(D327*E327,0)</f>
        <v>0</v>
      </c>
      <c r="G327" s="289"/>
    </row>
    <row r="328" spans="1:7" s="290" customFormat="1" ht="12.75" x14ac:dyDescent="0.2">
      <c r="A328" s="285">
        <v>2</v>
      </c>
      <c r="B328" s="285" t="s">
        <v>690</v>
      </c>
      <c r="C328" s="285" t="s">
        <v>38</v>
      </c>
      <c r="D328" s="287"/>
      <c r="E328" s="288"/>
      <c r="F328" s="288">
        <f t="shared" ref="F328:F351" si="14">+ROUND(D328*E328,0)</f>
        <v>0</v>
      </c>
      <c r="G328" s="289"/>
    </row>
    <row r="329" spans="1:7" s="290" customFormat="1" ht="12.75" x14ac:dyDescent="0.2">
      <c r="A329" s="285">
        <v>3</v>
      </c>
      <c r="B329" s="285" t="s">
        <v>691</v>
      </c>
      <c r="C329" s="285" t="s">
        <v>38</v>
      </c>
      <c r="D329" s="287">
        <v>5</v>
      </c>
      <c r="E329" s="288"/>
      <c r="F329" s="288">
        <f t="shared" si="14"/>
        <v>0</v>
      </c>
      <c r="G329" s="289"/>
    </row>
    <row r="330" spans="1:7" s="290" customFormat="1" ht="12.75" x14ac:dyDescent="0.2">
      <c r="A330" s="285">
        <v>4</v>
      </c>
      <c r="B330" s="285" t="s">
        <v>692</v>
      </c>
      <c r="C330" s="285" t="s">
        <v>38</v>
      </c>
      <c r="D330" s="287">
        <v>13</v>
      </c>
      <c r="E330" s="288"/>
      <c r="F330" s="288">
        <f t="shared" si="14"/>
        <v>0</v>
      </c>
      <c r="G330" s="289"/>
    </row>
    <row r="331" spans="1:7" s="290" customFormat="1" ht="12.75" x14ac:dyDescent="0.2">
      <c r="A331" s="285">
        <v>5</v>
      </c>
      <c r="B331" s="285" t="s">
        <v>693</v>
      </c>
      <c r="C331" s="285" t="s">
        <v>38</v>
      </c>
      <c r="D331" s="287">
        <v>17</v>
      </c>
      <c r="E331" s="288"/>
      <c r="F331" s="288">
        <f t="shared" si="14"/>
        <v>0</v>
      </c>
      <c r="G331" s="289"/>
    </row>
    <row r="332" spans="1:7" s="290" customFormat="1" ht="12.75" x14ac:dyDescent="0.2">
      <c r="A332" s="285"/>
      <c r="B332" s="285" t="s">
        <v>694</v>
      </c>
      <c r="C332" s="285"/>
      <c r="D332" s="287"/>
      <c r="E332" s="288"/>
      <c r="F332" s="288"/>
      <c r="G332" s="289"/>
    </row>
    <row r="333" spans="1:7" s="290" customFormat="1" ht="12.75" x14ac:dyDescent="0.2">
      <c r="A333" s="285">
        <v>1</v>
      </c>
      <c r="B333" s="285" t="s">
        <v>689</v>
      </c>
      <c r="C333" s="285" t="s">
        <v>38</v>
      </c>
      <c r="D333" s="287"/>
      <c r="E333" s="288"/>
      <c r="F333" s="288">
        <f t="shared" si="14"/>
        <v>0</v>
      </c>
      <c r="G333" s="289"/>
    </row>
    <row r="334" spans="1:7" s="290" customFormat="1" ht="12.75" x14ac:dyDescent="0.2">
      <c r="A334" s="285">
        <v>2</v>
      </c>
      <c r="B334" s="285" t="s">
        <v>690</v>
      </c>
      <c r="C334" s="285" t="s">
        <v>38</v>
      </c>
      <c r="D334" s="287">
        <v>2</v>
      </c>
      <c r="E334" s="288"/>
      <c r="F334" s="288">
        <f t="shared" si="14"/>
        <v>0</v>
      </c>
      <c r="G334" s="289"/>
    </row>
    <row r="335" spans="1:7" s="290" customFormat="1" ht="12.75" x14ac:dyDescent="0.2">
      <c r="A335" s="285">
        <v>3</v>
      </c>
      <c r="B335" s="285" t="s">
        <v>691</v>
      </c>
      <c r="C335" s="285" t="s">
        <v>38</v>
      </c>
      <c r="D335" s="287">
        <v>6</v>
      </c>
      <c r="E335" s="288"/>
      <c r="F335" s="288">
        <f t="shared" si="14"/>
        <v>0</v>
      </c>
      <c r="G335" s="289"/>
    </row>
    <row r="336" spans="1:7" s="290" customFormat="1" x14ac:dyDescent="0.25">
      <c r="B336" s="290" t="s">
        <v>695</v>
      </c>
      <c r="D336" s="306"/>
      <c r="E336" s="322"/>
      <c r="F336" s="322"/>
      <c r="G336" s="289">
        <f>SUM(F337:F351)</f>
        <v>0</v>
      </c>
    </row>
    <row r="337" spans="1:7" s="290" customFormat="1" ht="24" x14ac:dyDescent="0.2">
      <c r="A337" s="285">
        <v>1</v>
      </c>
      <c r="B337" s="286" t="s">
        <v>696</v>
      </c>
      <c r="C337" s="285" t="s">
        <v>39</v>
      </c>
      <c r="D337" s="287"/>
      <c r="E337" s="288"/>
      <c r="F337" s="288">
        <f>E337*D337</f>
        <v>0</v>
      </c>
      <c r="G337" s="289"/>
    </row>
    <row r="338" spans="1:7" s="290" customFormat="1" ht="24" x14ac:dyDescent="0.2">
      <c r="A338" s="285">
        <v>2</v>
      </c>
      <c r="B338" s="286" t="s">
        <v>697</v>
      </c>
      <c r="C338" s="285" t="s">
        <v>39</v>
      </c>
      <c r="D338" s="287"/>
      <c r="E338" s="288"/>
      <c r="F338" s="288">
        <f>E338*D338</f>
        <v>0</v>
      </c>
      <c r="G338" s="289"/>
    </row>
    <row r="339" spans="1:7" s="290" customFormat="1" ht="24" x14ac:dyDescent="0.2">
      <c r="A339" s="285">
        <v>3</v>
      </c>
      <c r="B339" s="286" t="s">
        <v>698</v>
      </c>
      <c r="C339" s="285" t="s">
        <v>39</v>
      </c>
      <c r="D339" s="287"/>
      <c r="E339" s="288"/>
      <c r="F339" s="288">
        <f>E339*D339</f>
        <v>0</v>
      </c>
      <c r="G339" s="289"/>
    </row>
    <row r="340" spans="1:7" s="290" customFormat="1" ht="36" x14ac:dyDescent="0.2">
      <c r="A340" s="285">
        <v>4</v>
      </c>
      <c r="B340" s="286" t="s">
        <v>699</v>
      </c>
      <c r="C340" s="285" t="s">
        <v>38</v>
      </c>
      <c r="D340" s="287">
        <v>10</v>
      </c>
      <c r="E340" s="288"/>
      <c r="F340" s="288">
        <f>E340*D340</f>
        <v>0</v>
      </c>
      <c r="G340" s="289"/>
    </row>
    <row r="341" spans="1:7" s="290" customFormat="1" ht="12.75" x14ac:dyDescent="0.2">
      <c r="A341" s="285">
        <v>5</v>
      </c>
      <c r="B341" s="285" t="s">
        <v>700</v>
      </c>
      <c r="C341" s="285" t="s">
        <v>38</v>
      </c>
      <c r="D341" s="287">
        <v>1</v>
      </c>
      <c r="E341" s="288"/>
      <c r="F341" s="288"/>
      <c r="G341" s="289"/>
    </row>
    <row r="342" spans="1:7" s="290" customFormat="1" ht="12.75" x14ac:dyDescent="0.2">
      <c r="A342" s="285">
        <v>6</v>
      </c>
      <c r="B342" s="285" t="s">
        <v>701</v>
      </c>
      <c r="C342" s="285" t="s">
        <v>38</v>
      </c>
      <c r="D342" s="287">
        <v>9</v>
      </c>
      <c r="E342" s="288"/>
      <c r="F342" s="288">
        <f t="shared" si="14"/>
        <v>0</v>
      </c>
      <c r="G342" s="289"/>
    </row>
    <row r="343" spans="1:7" s="290" customFormat="1" ht="12.75" x14ac:dyDescent="0.2">
      <c r="A343" s="285">
        <v>7</v>
      </c>
      <c r="B343" s="285" t="s">
        <v>702</v>
      </c>
      <c r="C343" s="285" t="s">
        <v>38</v>
      </c>
      <c r="D343" s="287">
        <v>92</v>
      </c>
      <c r="E343" s="288"/>
      <c r="F343" s="288">
        <f t="shared" si="14"/>
        <v>0</v>
      </c>
      <c r="G343" s="289"/>
    </row>
    <row r="344" spans="1:7" s="290" customFormat="1" ht="12.75" x14ac:dyDescent="0.2">
      <c r="A344" s="285">
        <v>8</v>
      </c>
      <c r="B344" s="285" t="s">
        <v>703</v>
      </c>
      <c r="C344" s="285" t="s">
        <v>38</v>
      </c>
      <c r="D344" s="287">
        <v>12</v>
      </c>
      <c r="E344" s="288"/>
      <c r="F344" s="288">
        <f t="shared" si="14"/>
        <v>0</v>
      </c>
      <c r="G344" s="289"/>
    </row>
    <row r="345" spans="1:7" s="290" customFormat="1" ht="12.75" x14ac:dyDescent="0.2">
      <c r="A345" s="285">
        <v>9</v>
      </c>
      <c r="B345" s="285" t="s">
        <v>704</v>
      </c>
      <c r="C345" s="285" t="s">
        <v>38</v>
      </c>
      <c r="D345" s="287">
        <v>9</v>
      </c>
      <c r="E345" s="288"/>
      <c r="F345" s="288">
        <f t="shared" si="14"/>
        <v>0</v>
      </c>
      <c r="G345" s="289"/>
    </row>
    <row r="346" spans="1:7" s="290" customFormat="1" ht="12.75" x14ac:dyDescent="0.2">
      <c r="A346" s="285">
        <v>10</v>
      </c>
      <c r="B346" s="285" t="s">
        <v>705</v>
      </c>
      <c r="C346" s="285" t="s">
        <v>38</v>
      </c>
      <c r="D346" s="287">
        <v>88</v>
      </c>
      <c r="E346" s="288"/>
      <c r="F346" s="288">
        <f t="shared" si="14"/>
        <v>0</v>
      </c>
      <c r="G346" s="289"/>
    </row>
    <row r="347" spans="1:7" s="290" customFormat="1" ht="12.75" x14ac:dyDescent="0.2">
      <c r="A347" s="285">
        <v>11</v>
      </c>
      <c r="B347" s="285" t="s">
        <v>706</v>
      </c>
      <c r="C347" s="285" t="s">
        <v>38</v>
      </c>
      <c r="D347" s="287"/>
      <c r="E347" s="288"/>
      <c r="F347" s="288">
        <f t="shared" si="14"/>
        <v>0</v>
      </c>
      <c r="G347" s="289"/>
    </row>
    <row r="348" spans="1:7" s="290" customFormat="1" ht="12.75" x14ac:dyDescent="0.2">
      <c r="A348" s="285">
        <v>12</v>
      </c>
      <c r="B348" s="285" t="s">
        <v>707</v>
      </c>
      <c r="C348" s="285" t="s">
        <v>38</v>
      </c>
      <c r="D348" s="287">
        <v>32</v>
      </c>
      <c r="E348" s="288"/>
      <c r="F348" s="288">
        <f t="shared" si="14"/>
        <v>0</v>
      </c>
      <c r="G348" s="289"/>
    </row>
    <row r="349" spans="1:7" s="290" customFormat="1" ht="12.75" x14ac:dyDescent="0.2">
      <c r="A349" s="285">
        <v>13</v>
      </c>
      <c r="B349" s="285" t="s">
        <v>708</v>
      </c>
      <c r="C349" s="285" t="s">
        <v>38</v>
      </c>
      <c r="D349" s="287">
        <v>13</v>
      </c>
      <c r="E349" s="288"/>
      <c r="F349" s="288">
        <f>+ROUND(D349*E349,0)</f>
        <v>0</v>
      </c>
      <c r="G349" s="289"/>
    </row>
    <row r="350" spans="1:7" s="290" customFormat="1" ht="12.75" x14ac:dyDescent="0.2">
      <c r="A350" s="285">
        <v>14</v>
      </c>
      <c r="B350" s="285" t="s">
        <v>709</v>
      </c>
      <c r="C350" s="285" t="s">
        <v>38</v>
      </c>
      <c r="D350" s="287">
        <v>11</v>
      </c>
      <c r="E350" s="288"/>
      <c r="F350" s="288">
        <f>+ROUND(D350*E350,0)</f>
        <v>0</v>
      </c>
      <c r="G350" s="289"/>
    </row>
    <row r="351" spans="1:7" s="290" customFormat="1" ht="12.75" x14ac:dyDescent="0.2">
      <c r="A351" s="285">
        <v>15</v>
      </c>
      <c r="B351" s="285" t="s">
        <v>710</v>
      </c>
      <c r="C351" s="285" t="s">
        <v>38</v>
      </c>
      <c r="D351" s="287">
        <v>2</v>
      </c>
      <c r="E351" s="288"/>
      <c r="F351" s="288">
        <f t="shared" si="14"/>
        <v>0</v>
      </c>
      <c r="G351" s="289"/>
    </row>
    <row r="352" spans="1:7" s="290" customFormat="1" ht="26.25" x14ac:dyDescent="0.25">
      <c r="A352" s="293"/>
      <c r="B352" s="320" t="s">
        <v>711</v>
      </c>
      <c r="C352" s="294"/>
      <c r="D352" s="295"/>
      <c r="E352" s="294"/>
      <c r="F352" s="294"/>
      <c r="G352" s="296">
        <f>SUM(F353:F365)</f>
        <v>0</v>
      </c>
    </row>
    <row r="353" spans="1:7" s="290" customFormat="1" ht="24" x14ac:dyDescent="0.2">
      <c r="A353" s="285">
        <v>1</v>
      </c>
      <c r="B353" s="286" t="s">
        <v>712</v>
      </c>
      <c r="C353" s="285" t="s">
        <v>394</v>
      </c>
      <c r="D353" s="287">
        <v>2</v>
      </c>
      <c r="E353" s="288"/>
      <c r="F353" s="288">
        <f>+ROUND(D353*E353,0)</f>
        <v>0</v>
      </c>
      <c r="G353" s="289"/>
    </row>
    <row r="354" spans="1:7" s="290" customFormat="1" ht="36" x14ac:dyDescent="0.2">
      <c r="A354" s="285">
        <v>2</v>
      </c>
      <c r="B354" s="286" t="s">
        <v>713</v>
      </c>
      <c r="C354" s="285" t="s">
        <v>394</v>
      </c>
      <c r="D354" s="287">
        <v>2</v>
      </c>
      <c r="E354" s="288"/>
      <c r="F354" s="288">
        <f>+ROUND(D354*E354,0)</f>
        <v>0</v>
      </c>
      <c r="G354" s="289"/>
    </row>
    <row r="355" spans="1:7" s="290" customFormat="1" x14ac:dyDescent="0.25">
      <c r="A355" s="293"/>
      <c r="B355" s="320" t="s">
        <v>714</v>
      </c>
      <c r="C355" s="294"/>
      <c r="D355" s="295"/>
      <c r="E355" s="294"/>
      <c r="F355" s="294"/>
      <c r="G355" s="300" t="e">
        <f>SUM(F356:F368)</f>
        <v>#REF!</v>
      </c>
    </row>
    <row r="356" spans="1:7" s="290" customFormat="1" ht="12.75" x14ac:dyDescent="0.2">
      <c r="A356" s="285">
        <v>1</v>
      </c>
      <c r="B356" s="286" t="s">
        <v>715</v>
      </c>
      <c r="C356" s="285" t="s">
        <v>38</v>
      </c>
      <c r="D356" s="287">
        <f>40+6+6+6</f>
        <v>58</v>
      </c>
      <c r="E356" s="288"/>
      <c r="F356" s="288">
        <f>+ROUND(D356*E356,0)</f>
        <v>0</v>
      </c>
      <c r="G356" s="289"/>
    </row>
    <row r="357" spans="1:7" s="290" customFormat="1" ht="12.75" x14ac:dyDescent="0.2">
      <c r="A357" s="285"/>
      <c r="B357" s="285" t="s">
        <v>716</v>
      </c>
      <c r="C357" s="285" t="s">
        <v>38</v>
      </c>
      <c r="D357" s="287">
        <f>17+26+20+15</f>
        <v>78</v>
      </c>
      <c r="E357" s="288"/>
      <c r="F357" s="288">
        <f>+ROUND(D357*E357,0)</f>
        <v>0</v>
      </c>
      <c r="G357" s="289"/>
    </row>
    <row r="358" spans="1:7" s="290" customFormat="1" ht="12.75" x14ac:dyDescent="0.2">
      <c r="A358" s="285">
        <v>2</v>
      </c>
      <c r="B358" s="285" t="s">
        <v>717</v>
      </c>
      <c r="C358" s="285" t="s">
        <v>38</v>
      </c>
      <c r="D358" s="287">
        <f>4+10+2+2</f>
        <v>18</v>
      </c>
      <c r="E358" s="288"/>
      <c r="F358" s="288">
        <f t="shared" ref="F358:F365" si="15">+ROUND(D358*E358,0)</f>
        <v>0</v>
      </c>
      <c r="G358" s="289"/>
    </row>
    <row r="359" spans="1:7" s="290" customFormat="1" ht="12.75" x14ac:dyDescent="0.2">
      <c r="A359" s="285">
        <v>3</v>
      </c>
      <c r="B359" s="286" t="s">
        <v>718</v>
      </c>
      <c r="C359" s="285" t="s">
        <v>38</v>
      </c>
      <c r="D359" s="287">
        <f>9+53+6</f>
        <v>68</v>
      </c>
      <c r="E359" s="288"/>
      <c r="F359" s="288">
        <f t="shared" si="15"/>
        <v>0</v>
      </c>
      <c r="G359" s="289"/>
    </row>
    <row r="360" spans="1:7" s="290" customFormat="1" ht="12.75" x14ac:dyDescent="0.2">
      <c r="A360" s="285">
        <v>4</v>
      </c>
      <c r="B360" s="286" t="s">
        <v>719</v>
      </c>
      <c r="C360" s="285" t="s">
        <v>38</v>
      </c>
      <c r="D360" s="287">
        <f>2</f>
        <v>2</v>
      </c>
      <c r="E360" s="288"/>
      <c r="F360" s="288">
        <f t="shared" si="15"/>
        <v>0</v>
      </c>
      <c r="G360" s="289"/>
    </row>
    <row r="361" spans="1:7" s="290" customFormat="1" ht="12.75" x14ac:dyDescent="0.2">
      <c r="A361" s="285">
        <v>5</v>
      </c>
      <c r="B361" s="286" t="s">
        <v>720</v>
      </c>
      <c r="C361" s="285" t="s">
        <v>38</v>
      </c>
      <c r="D361" s="287">
        <f>9+10+7+4</f>
        <v>30</v>
      </c>
      <c r="E361" s="288"/>
      <c r="F361" s="288">
        <f t="shared" si="15"/>
        <v>0</v>
      </c>
      <c r="G361" s="289"/>
    </row>
    <row r="362" spans="1:7" s="290" customFormat="1" ht="12.75" x14ac:dyDescent="0.2">
      <c r="A362" s="285">
        <v>6</v>
      </c>
      <c r="B362" s="286" t="s">
        <v>721</v>
      </c>
      <c r="C362" s="285" t="s">
        <v>38</v>
      </c>
      <c r="D362" s="287">
        <f>1+7</f>
        <v>8</v>
      </c>
      <c r="E362" s="288"/>
      <c r="F362" s="288">
        <f>+ROUND(D362*E362,0)</f>
        <v>0</v>
      </c>
      <c r="G362" s="289"/>
    </row>
    <row r="363" spans="1:7" s="290" customFormat="1" ht="12.75" x14ac:dyDescent="0.2">
      <c r="A363" s="285">
        <v>7</v>
      </c>
      <c r="B363" s="286" t="s">
        <v>722</v>
      </c>
      <c r="C363" s="285" t="s">
        <v>38</v>
      </c>
      <c r="D363" s="287">
        <f>1</f>
        <v>1</v>
      </c>
      <c r="E363" s="288"/>
      <c r="F363" s="288">
        <f t="shared" si="15"/>
        <v>0</v>
      </c>
      <c r="G363" s="289"/>
    </row>
    <row r="364" spans="1:7" s="290" customFormat="1" ht="24" x14ac:dyDescent="0.2">
      <c r="A364" s="285">
        <v>8</v>
      </c>
      <c r="B364" s="286" t="s">
        <v>723</v>
      </c>
      <c r="C364" s="285" t="s">
        <v>38</v>
      </c>
      <c r="D364" s="287">
        <f>1</f>
        <v>1</v>
      </c>
      <c r="E364" s="288"/>
      <c r="F364" s="288">
        <f t="shared" si="15"/>
        <v>0</v>
      </c>
      <c r="G364" s="289"/>
    </row>
    <row r="365" spans="1:7" s="290" customFormat="1" ht="24" x14ac:dyDescent="0.2">
      <c r="A365" s="285">
        <v>9</v>
      </c>
      <c r="B365" s="286" t="s">
        <v>724</v>
      </c>
      <c r="C365" s="285" t="s">
        <v>38</v>
      </c>
      <c r="D365" s="287">
        <f>2+1</f>
        <v>3</v>
      </c>
      <c r="E365" s="288"/>
      <c r="F365" s="288">
        <f t="shared" si="15"/>
        <v>0</v>
      </c>
      <c r="G365" s="289"/>
    </row>
    <row r="366" spans="1:7" s="290" customFormat="1" ht="12.75" x14ac:dyDescent="0.2">
      <c r="A366" s="285"/>
      <c r="B366" s="285"/>
      <c r="C366" s="285"/>
      <c r="D366" s="287"/>
      <c r="E366" s="285"/>
      <c r="F366" s="285"/>
      <c r="G366" s="289"/>
    </row>
    <row r="367" spans="1:7" s="290" customFormat="1" ht="13.5" thickBot="1" x14ac:dyDescent="0.25">
      <c r="A367" s="285"/>
      <c r="B367" s="285"/>
      <c r="C367" s="285"/>
      <c r="D367" s="287"/>
      <c r="E367" s="285"/>
      <c r="F367" s="285"/>
      <c r="G367" s="289"/>
    </row>
    <row r="368" spans="1:7" s="290" customFormat="1" ht="15.75" thickBot="1" x14ac:dyDescent="0.3">
      <c r="A368" s="326"/>
      <c r="B368" s="327" t="s">
        <v>725</v>
      </c>
      <c r="C368" s="327"/>
      <c r="D368" s="328"/>
      <c r="E368" s="327"/>
      <c r="F368" s="329" t="e">
        <f>SUM(F9:F367)</f>
        <v>#REF!</v>
      </c>
      <c r="G368" s="330"/>
    </row>
    <row r="369" spans="1:7" s="290" customFormat="1" ht="12.75" x14ac:dyDescent="0.2">
      <c r="A369" s="285"/>
      <c r="B369" s="285"/>
      <c r="C369" s="285"/>
      <c r="D369" s="287"/>
      <c r="E369" s="285"/>
      <c r="F369" s="285"/>
      <c r="G369" s="289"/>
    </row>
    <row r="370" spans="1:7" ht="12.75" x14ac:dyDescent="0.2">
      <c r="A370" s="219"/>
      <c r="B370" s="219"/>
      <c r="C370" s="219"/>
      <c r="D370" s="220"/>
      <c r="E370" s="219"/>
      <c r="F370" s="219"/>
      <c r="G370" s="213"/>
    </row>
    <row r="371" spans="1:7" ht="12.75" x14ac:dyDescent="0.2">
      <c r="A371" s="219"/>
      <c r="B371" s="219"/>
      <c r="C371" s="219"/>
      <c r="D371" s="220"/>
      <c r="E371" s="219"/>
      <c r="F371" s="219"/>
      <c r="G371" s="213"/>
    </row>
    <row r="372" spans="1:7" ht="12.75" x14ac:dyDescent="0.2">
      <c r="A372" s="219"/>
      <c r="B372" s="219"/>
      <c r="C372" s="219"/>
      <c r="D372" s="220"/>
      <c r="E372" s="219"/>
      <c r="F372" s="219"/>
      <c r="G372" s="213"/>
    </row>
    <row r="373" spans="1:7" ht="12.75" x14ac:dyDescent="0.2">
      <c r="A373" s="219"/>
      <c r="B373" s="219"/>
      <c r="C373" s="219"/>
      <c r="D373" s="220"/>
      <c r="E373" s="219"/>
      <c r="F373" s="219"/>
      <c r="G373" s="213"/>
    </row>
    <row r="374" spans="1:7" ht="12.75" x14ac:dyDescent="0.2">
      <c r="A374" s="219"/>
      <c r="B374" s="219"/>
      <c r="C374" s="219"/>
      <c r="D374" s="220"/>
      <c r="E374" s="219"/>
      <c r="F374" s="219"/>
      <c r="G374" s="213"/>
    </row>
    <row r="375" spans="1:7" ht="12.75" x14ac:dyDescent="0.2">
      <c r="A375" s="219"/>
      <c r="B375" s="219"/>
      <c r="C375" s="219"/>
      <c r="D375" s="220"/>
      <c r="E375" s="219"/>
      <c r="F375" s="219"/>
      <c r="G375" s="213"/>
    </row>
  </sheetData>
  <mergeCells count="4">
    <mergeCell ref="A1:G1"/>
    <mergeCell ref="A2:G2"/>
    <mergeCell ref="C5:D5"/>
    <mergeCell ref="A6:G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topLeftCell="B1" workbookViewId="0">
      <selection activeCell="L25" sqref="L25"/>
    </sheetView>
  </sheetViews>
  <sheetFormatPr baseColWidth="10" defaultRowHeight="12.75" x14ac:dyDescent="0.2"/>
  <cols>
    <col min="1" max="1" width="5.42578125" customWidth="1"/>
    <col min="2" max="2" width="57.28515625" customWidth="1"/>
    <col min="3" max="3" width="9.85546875" customWidth="1"/>
    <col min="4" max="4" width="10.7109375" customWidth="1"/>
    <col min="5" max="5" width="12.7109375" customWidth="1"/>
    <col min="6" max="6" width="17.140625" customWidth="1"/>
  </cols>
  <sheetData>
    <row r="1" spans="1:6" x14ac:dyDescent="0.2">
      <c r="B1" s="151"/>
      <c r="E1" s="152"/>
      <c r="F1" s="153"/>
    </row>
    <row r="2" spans="1:6" x14ac:dyDescent="0.2">
      <c r="B2" s="151"/>
      <c r="E2" s="152"/>
      <c r="F2" s="153"/>
    </row>
    <row r="3" spans="1:6" ht="27" thickBot="1" x14ac:dyDescent="0.45">
      <c r="A3" s="253" t="s">
        <v>187</v>
      </c>
      <c r="B3" s="253"/>
      <c r="C3" s="253"/>
      <c r="D3" s="253"/>
      <c r="E3" s="253"/>
      <c r="F3" s="253"/>
    </row>
    <row r="4" spans="1:6" ht="19.5" thickBot="1" x14ac:dyDescent="0.35">
      <c r="A4" s="254" t="s">
        <v>427</v>
      </c>
      <c r="B4" s="255"/>
      <c r="C4" s="255"/>
      <c r="D4" s="255"/>
      <c r="E4" s="255"/>
      <c r="F4" s="256"/>
    </row>
    <row r="5" spans="1:6" ht="13.5" thickBot="1" x14ac:dyDescent="0.25">
      <c r="A5" t="s">
        <v>398</v>
      </c>
      <c r="B5" s="151"/>
      <c r="E5" s="154"/>
      <c r="F5" s="155"/>
    </row>
    <row r="6" spans="1:6" ht="15" x14ac:dyDescent="0.25">
      <c r="A6" s="156" t="s">
        <v>0</v>
      </c>
      <c r="B6" s="157" t="s">
        <v>189</v>
      </c>
      <c r="C6" s="158" t="s">
        <v>190</v>
      </c>
      <c r="D6" s="158" t="s">
        <v>191</v>
      </c>
      <c r="E6" s="159" t="s">
        <v>192</v>
      </c>
      <c r="F6" s="160" t="s">
        <v>5</v>
      </c>
    </row>
    <row r="7" spans="1:6" ht="15" x14ac:dyDescent="0.25">
      <c r="A7" s="265" t="s">
        <v>263</v>
      </c>
      <c r="B7" s="266"/>
      <c r="C7" s="266"/>
      <c r="D7" s="273"/>
      <c r="E7" s="189"/>
      <c r="F7" s="168">
        <f t="shared" ref="F7:F42" si="0">E7*D7</f>
        <v>0</v>
      </c>
    </row>
    <row r="8" spans="1:6" ht="15" x14ac:dyDescent="0.25">
      <c r="A8" s="176" t="s">
        <v>264</v>
      </c>
      <c r="B8" s="177" t="s">
        <v>195</v>
      </c>
      <c r="C8" s="173"/>
      <c r="D8" s="174"/>
      <c r="E8" s="189"/>
      <c r="F8" s="168">
        <f t="shared" si="0"/>
        <v>0</v>
      </c>
    </row>
    <row r="9" spans="1:6" ht="15" x14ac:dyDescent="0.25">
      <c r="A9" s="173" t="s">
        <v>265</v>
      </c>
      <c r="B9" s="175" t="s">
        <v>197</v>
      </c>
      <c r="C9" s="173" t="s">
        <v>3</v>
      </c>
      <c r="D9" s="174">
        <v>1</v>
      </c>
      <c r="E9" s="189"/>
      <c r="F9" s="168">
        <f t="shared" si="0"/>
        <v>0</v>
      </c>
    </row>
    <row r="10" spans="1:6" ht="15" x14ac:dyDescent="0.25">
      <c r="A10" s="176" t="s">
        <v>266</v>
      </c>
      <c r="B10" s="177" t="s">
        <v>199</v>
      </c>
      <c r="C10" s="173"/>
      <c r="D10" s="174"/>
      <c r="E10" s="189"/>
      <c r="F10" s="168">
        <f t="shared" si="0"/>
        <v>0</v>
      </c>
    </row>
    <row r="11" spans="1:6" ht="15" x14ac:dyDescent="0.25">
      <c r="A11" s="176"/>
      <c r="B11" s="177"/>
      <c r="C11" s="173"/>
      <c r="D11" s="174"/>
      <c r="E11" s="189"/>
      <c r="F11" s="168"/>
    </row>
    <row r="12" spans="1:6" ht="15" x14ac:dyDescent="0.25">
      <c r="A12" s="176" t="s">
        <v>267</v>
      </c>
      <c r="B12" s="177" t="s">
        <v>268</v>
      </c>
      <c r="C12" s="173"/>
      <c r="D12" s="174"/>
      <c r="E12" s="189"/>
      <c r="F12" s="168">
        <f t="shared" si="0"/>
        <v>0</v>
      </c>
    </row>
    <row r="13" spans="1:6" ht="17.25" x14ac:dyDescent="0.25">
      <c r="A13" s="173" t="s">
        <v>269</v>
      </c>
      <c r="B13" s="175" t="s">
        <v>270</v>
      </c>
      <c r="C13" s="173" t="s">
        <v>203</v>
      </c>
      <c r="D13" s="174">
        <f>360+740</f>
        <v>1100</v>
      </c>
      <c r="E13" s="189"/>
      <c r="F13" s="168">
        <f t="shared" si="0"/>
        <v>0</v>
      </c>
    </row>
    <row r="14" spans="1:6" ht="17.25" x14ac:dyDescent="0.25">
      <c r="A14" s="173" t="s">
        <v>271</v>
      </c>
      <c r="B14" s="175" t="s">
        <v>272</v>
      </c>
      <c r="C14" s="173" t="s">
        <v>203</v>
      </c>
      <c r="D14" s="174">
        <f>585+740</f>
        <v>1325</v>
      </c>
      <c r="E14" s="189"/>
      <c r="F14" s="168">
        <f t="shared" si="0"/>
        <v>0</v>
      </c>
    </row>
    <row r="15" spans="1:6" ht="15" x14ac:dyDescent="0.25">
      <c r="A15" s="173" t="s">
        <v>273</v>
      </c>
      <c r="B15" s="192" t="s">
        <v>422</v>
      </c>
      <c r="C15" s="191" t="s">
        <v>9</v>
      </c>
      <c r="D15" s="174">
        <v>282</v>
      </c>
      <c r="E15" s="189"/>
      <c r="F15" s="168">
        <f t="shared" si="0"/>
        <v>0</v>
      </c>
    </row>
    <row r="16" spans="1:6" ht="15" x14ac:dyDescent="0.25">
      <c r="A16" s="176" t="s">
        <v>274</v>
      </c>
      <c r="B16" s="177" t="s">
        <v>275</v>
      </c>
      <c r="C16" s="173"/>
      <c r="D16" s="174"/>
      <c r="E16" s="189"/>
      <c r="F16" s="168">
        <f t="shared" si="0"/>
        <v>0</v>
      </c>
    </row>
    <row r="17" spans="1:6" s="290" customFormat="1" ht="15" x14ac:dyDescent="0.25">
      <c r="A17" s="336" t="s">
        <v>276</v>
      </c>
      <c r="B17" s="341" t="s">
        <v>277</v>
      </c>
      <c r="C17" s="336" t="s">
        <v>9</v>
      </c>
      <c r="D17" s="338">
        <v>3</v>
      </c>
      <c r="E17" s="339"/>
      <c r="F17" s="340">
        <f t="shared" si="0"/>
        <v>0</v>
      </c>
    </row>
    <row r="18" spans="1:6" s="290" customFormat="1" ht="15" x14ac:dyDescent="0.25">
      <c r="A18" s="336" t="s">
        <v>278</v>
      </c>
      <c r="B18" s="341" t="s">
        <v>279</v>
      </c>
      <c r="C18" s="336" t="s">
        <v>9</v>
      </c>
      <c r="D18" s="338">
        <v>2.5</v>
      </c>
      <c r="E18" s="339"/>
      <c r="F18" s="340">
        <f t="shared" si="0"/>
        <v>0</v>
      </c>
    </row>
    <row r="19" spans="1:6" s="290" customFormat="1" ht="15" x14ac:dyDescent="0.25">
      <c r="A19" s="336" t="s">
        <v>280</v>
      </c>
      <c r="B19" s="341" t="s">
        <v>281</v>
      </c>
      <c r="C19" s="336" t="s">
        <v>282</v>
      </c>
      <c r="D19" s="338">
        <v>2</v>
      </c>
      <c r="E19" s="339"/>
      <c r="F19" s="340">
        <f t="shared" si="0"/>
        <v>0</v>
      </c>
    </row>
    <row r="20" spans="1:6" s="290" customFormat="1" ht="15" x14ac:dyDescent="0.25">
      <c r="A20" s="336" t="s">
        <v>283</v>
      </c>
      <c r="B20" s="341" t="s">
        <v>284</v>
      </c>
      <c r="C20" s="336" t="s">
        <v>9</v>
      </c>
      <c r="D20" s="338">
        <v>12</v>
      </c>
      <c r="E20" s="339"/>
      <c r="F20" s="340">
        <f t="shared" si="0"/>
        <v>0</v>
      </c>
    </row>
    <row r="21" spans="1:6" s="290" customFormat="1" ht="15" x14ac:dyDescent="0.25">
      <c r="A21" s="336" t="s">
        <v>285</v>
      </c>
      <c r="B21" s="341" t="s">
        <v>286</v>
      </c>
      <c r="C21" s="336" t="s">
        <v>39</v>
      </c>
      <c r="D21" s="338">
        <v>40</v>
      </c>
      <c r="E21" s="339"/>
      <c r="F21" s="340">
        <f t="shared" si="0"/>
        <v>0</v>
      </c>
    </row>
    <row r="22" spans="1:6" s="290" customFormat="1" ht="15" x14ac:dyDescent="0.25">
      <c r="A22" s="336" t="s">
        <v>287</v>
      </c>
      <c r="B22" s="341" t="s">
        <v>288</v>
      </c>
      <c r="C22" s="336" t="s">
        <v>39</v>
      </c>
      <c r="D22" s="338">
        <v>100</v>
      </c>
      <c r="E22" s="339"/>
      <c r="F22" s="340">
        <f t="shared" si="0"/>
        <v>0</v>
      </c>
    </row>
    <row r="23" spans="1:6" s="290" customFormat="1" ht="17.25" customHeight="1" x14ac:dyDescent="0.25">
      <c r="A23" s="336" t="s">
        <v>289</v>
      </c>
      <c r="B23" s="342" t="s">
        <v>414</v>
      </c>
      <c r="C23" s="336" t="s">
        <v>282</v>
      </c>
      <c r="D23" s="338">
        <v>8</v>
      </c>
      <c r="E23" s="339"/>
      <c r="F23" s="340">
        <f t="shared" si="0"/>
        <v>0</v>
      </c>
    </row>
    <row r="24" spans="1:6" s="290" customFormat="1" ht="25.5" customHeight="1" x14ac:dyDescent="0.25">
      <c r="A24" s="336"/>
      <c r="B24" s="337" t="s">
        <v>423</v>
      </c>
      <c r="C24" s="343" t="s">
        <v>9</v>
      </c>
      <c r="D24" s="338">
        <v>615</v>
      </c>
      <c r="E24" s="339"/>
      <c r="F24" s="340">
        <f t="shared" si="0"/>
        <v>0</v>
      </c>
    </row>
    <row r="25" spans="1:6" s="290" customFormat="1" ht="15" x14ac:dyDescent="0.25">
      <c r="A25" s="344" t="s">
        <v>290</v>
      </c>
      <c r="B25" s="345" t="s">
        <v>291</v>
      </c>
      <c r="C25" s="336"/>
      <c r="D25" s="338"/>
      <c r="E25" s="339"/>
      <c r="F25" s="340">
        <f t="shared" si="0"/>
        <v>0</v>
      </c>
    </row>
    <row r="26" spans="1:6" s="290" customFormat="1" ht="154.5" customHeight="1" x14ac:dyDescent="0.25">
      <c r="A26" s="336" t="s">
        <v>292</v>
      </c>
      <c r="B26" s="351" t="s">
        <v>293</v>
      </c>
      <c r="C26" s="336" t="s">
        <v>203</v>
      </c>
      <c r="D26" s="338">
        <f>897+740</f>
        <v>1637</v>
      </c>
      <c r="E26" s="339"/>
      <c r="F26" s="340">
        <f t="shared" si="0"/>
        <v>0</v>
      </c>
    </row>
    <row r="27" spans="1:6" s="290" customFormat="1" ht="135.75" customHeight="1" x14ac:dyDescent="0.25">
      <c r="A27" s="336" t="s">
        <v>294</v>
      </c>
      <c r="B27" s="351" t="s">
        <v>295</v>
      </c>
      <c r="C27" s="336" t="s">
        <v>203</v>
      </c>
      <c r="D27" s="338">
        <v>217</v>
      </c>
      <c r="E27" s="339"/>
      <c r="F27" s="340">
        <f t="shared" si="0"/>
        <v>0</v>
      </c>
    </row>
    <row r="28" spans="1:6" s="290" customFormat="1" ht="192" customHeight="1" x14ac:dyDescent="0.25">
      <c r="A28" s="336" t="s">
        <v>296</v>
      </c>
      <c r="B28" s="351" t="s">
        <v>297</v>
      </c>
      <c r="C28" s="336" t="s">
        <v>39</v>
      </c>
      <c r="D28" s="338">
        <f>24+26</f>
        <v>50</v>
      </c>
      <c r="E28" s="339"/>
      <c r="F28" s="340">
        <f t="shared" si="0"/>
        <v>0</v>
      </c>
    </row>
    <row r="29" spans="1:6" s="290" customFormat="1" ht="153" x14ac:dyDescent="0.25">
      <c r="A29" s="336" t="s">
        <v>298</v>
      </c>
      <c r="B29" s="351" t="s">
        <v>299</v>
      </c>
      <c r="C29" s="336" t="s">
        <v>39</v>
      </c>
      <c r="D29" s="338">
        <v>118.9</v>
      </c>
      <c r="E29" s="339"/>
      <c r="F29" s="340">
        <f t="shared" si="0"/>
        <v>0</v>
      </c>
    </row>
    <row r="30" spans="1:6" s="290" customFormat="1" ht="141.75" customHeight="1" x14ac:dyDescent="0.25">
      <c r="A30" s="336" t="s">
        <v>300</v>
      </c>
      <c r="B30" s="351" t="s">
        <v>301</v>
      </c>
      <c r="C30" s="336" t="s">
        <v>39</v>
      </c>
      <c r="D30" s="338">
        <f>11.92*2*7</f>
        <v>166.88</v>
      </c>
      <c r="E30" s="339"/>
      <c r="F30" s="340">
        <f t="shared" si="0"/>
        <v>0</v>
      </c>
    </row>
    <row r="31" spans="1:6" s="290" customFormat="1" ht="116.25" customHeight="1" x14ac:dyDescent="0.25">
      <c r="A31" s="336" t="s">
        <v>302</v>
      </c>
      <c r="B31" s="351" t="s">
        <v>303</v>
      </c>
      <c r="C31" s="336" t="s">
        <v>39</v>
      </c>
      <c r="D31" s="338">
        <f>+(33*4)+(11*2)+11*2</f>
        <v>176</v>
      </c>
      <c r="E31" s="339"/>
      <c r="F31" s="340">
        <f t="shared" si="0"/>
        <v>0</v>
      </c>
    </row>
    <row r="32" spans="1:6" s="290" customFormat="1" ht="15" x14ac:dyDescent="0.25">
      <c r="A32" s="344" t="s">
        <v>304</v>
      </c>
      <c r="B32" s="345" t="s">
        <v>428</v>
      </c>
      <c r="C32" s="345"/>
      <c r="D32" s="345"/>
      <c r="E32" s="339"/>
      <c r="F32" s="340">
        <f t="shared" si="0"/>
        <v>0</v>
      </c>
    </row>
    <row r="33" spans="1:6" s="290" customFormat="1" ht="26.25" x14ac:dyDescent="0.25">
      <c r="A33" s="336" t="s">
        <v>306</v>
      </c>
      <c r="B33" s="346" t="s">
        <v>307</v>
      </c>
      <c r="C33" s="336" t="s">
        <v>203</v>
      </c>
      <c r="D33" s="338">
        <v>466</v>
      </c>
      <c r="E33" s="339"/>
      <c r="F33" s="340">
        <f t="shared" si="0"/>
        <v>0</v>
      </c>
    </row>
    <row r="34" spans="1:6" s="290" customFormat="1" ht="17.25" x14ac:dyDescent="0.25">
      <c r="A34" s="336" t="s">
        <v>308</v>
      </c>
      <c r="B34" s="341" t="s">
        <v>309</v>
      </c>
      <c r="C34" s="336" t="s">
        <v>203</v>
      </c>
      <c r="D34" s="338">
        <v>1000</v>
      </c>
      <c r="E34" s="339"/>
      <c r="F34" s="340">
        <f t="shared" si="0"/>
        <v>0</v>
      </c>
    </row>
    <row r="35" spans="1:6" s="290" customFormat="1" ht="17.25" x14ac:dyDescent="0.25">
      <c r="A35" s="336" t="s">
        <v>310</v>
      </c>
      <c r="B35" s="341" t="s">
        <v>311</v>
      </c>
      <c r="C35" s="336" t="s">
        <v>203</v>
      </c>
      <c r="D35" s="338">
        <f>D34+D33</f>
        <v>1466</v>
      </c>
      <c r="E35" s="339"/>
      <c r="F35" s="340">
        <f t="shared" si="0"/>
        <v>0</v>
      </c>
    </row>
    <row r="36" spans="1:6" s="290" customFormat="1" ht="17.25" x14ac:dyDescent="0.25">
      <c r="A36" s="336" t="s">
        <v>312</v>
      </c>
      <c r="B36" s="341" t="s">
        <v>313</v>
      </c>
      <c r="C36" s="336" t="s">
        <v>203</v>
      </c>
      <c r="D36" s="338">
        <f>D35</f>
        <v>1466</v>
      </c>
      <c r="E36" s="339"/>
      <c r="F36" s="340">
        <f t="shared" si="0"/>
        <v>0</v>
      </c>
    </row>
    <row r="37" spans="1:6" s="290" customFormat="1" ht="17.25" x14ac:dyDescent="0.25">
      <c r="A37" s="336" t="s">
        <v>314</v>
      </c>
      <c r="B37" s="341" t="s">
        <v>315</v>
      </c>
      <c r="C37" s="336" t="s">
        <v>203</v>
      </c>
      <c r="D37" s="353">
        <v>150</v>
      </c>
      <c r="E37" s="339"/>
      <c r="F37" s="340">
        <f t="shared" si="0"/>
        <v>0</v>
      </c>
    </row>
    <row r="38" spans="1:6" s="290" customFormat="1" ht="26.25" x14ac:dyDescent="0.25">
      <c r="A38" s="336" t="s">
        <v>316</v>
      </c>
      <c r="B38" s="346" t="s">
        <v>317</v>
      </c>
      <c r="C38" s="336" t="s">
        <v>203</v>
      </c>
      <c r="D38" s="353">
        <v>170</v>
      </c>
      <c r="E38" s="339"/>
      <c r="F38" s="340">
        <f t="shared" si="0"/>
        <v>0</v>
      </c>
    </row>
    <row r="39" spans="1:6" s="290" customFormat="1" ht="39" x14ac:dyDescent="0.25">
      <c r="A39" s="336" t="s">
        <v>318</v>
      </c>
      <c r="B39" s="346" t="s">
        <v>319</v>
      </c>
      <c r="C39" s="336" t="s">
        <v>203</v>
      </c>
      <c r="D39" s="338">
        <f>329+193*1.2+78*5</f>
        <v>950.6</v>
      </c>
      <c r="E39" s="339"/>
      <c r="F39" s="340">
        <f t="shared" si="0"/>
        <v>0</v>
      </c>
    </row>
    <row r="40" spans="1:6" s="290" customFormat="1" ht="26.25" x14ac:dyDescent="0.25">
      <c r="A40" s="336" t="s">
        <v>320</v>
      </c>
      <c r="B40" s="346" t="s">
        <v>321</v>
      </c>
      <c r="C40" s="336" t="s">
        <v>9</v>
      </c>
      <c r="D40" s="338">
        <f>91+65+68+68+73+73</f>
        <v>438</v>
      </c>
      <c r="E40" s="339"/>
      <c r="F40" s="340">
        <f t="shared" si="0"/>
        <v>0</v>
      </c>
    </row>
    <row r="41" spans="1:6" ht="26.25" x14ac:dyDescent="0.25">
      <c r="A41" s="173" t="s">
        <v>322</v>
      </c>
      <c r="B41" s="178" t="s">
        <v>323</v>
      </c>
      <c r="C41" s="173" t="s">
        <v>9</v>
      </c>
      <c r="D41" s="174">
        <v>40</v>
      </c>
      <c r="E41" s="189"/>
      <c r="F41" s="168">
        <f t="shared" si="0"/>
        <v>0</v>
      </c>
    </row>
    <row r="42" spans="1:6" ht="15.75" thickBot="1" x14ac:dyDescent="0.3">
      <c r="A42" s="173" t="s">
        <v>324</v>
      </c>
      <c r="B42" s="175" t="s">
        <v>325</v>
      </c>
      <c r="C42" s="173" t="s">
        <v>262</v>
      </c>
      <c r="D42" s="174">
        <v>1</v>
      </c>
      <c r="E42" s="189"/>
      <c r="F42" s="168">
        <f t="shared" si="0"/>
        <v>0</v>
      </c>
    </row>
    <row r="43" spans="1:6" ht="19.5" thickBot="1" x14ac:dyDescent="0.35">
      <c r="A43" s="250" t="s">
        <v>397</v>
      </c>
      <c r="B43" s="251"/>
      <c r="C43" s="251"/>
      <c r="D43" s="251"/>
      <c r="E43" s="252"/>
      <c r="F43" s="182">
        <f>SUM(F7:F42)</f>
        <v>0</v>
      </c>
    </row>
  </sheetData>
  <mergeCells count="4">
    <mergeCell ref="A43:E43"/>
    <mergeCell ref="A3:F3"/>
    <mergeCell ref="A4:F4"/>
    <mergeCell ref="A7:D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8"/>
  <sheetViews>
    <sheetView topLeftCell="A67" workbookViewId="0">
      <selection activeCell="D75" sqref="D75:D76"/>
    </sheetView>
  </sheetViews>
  <sheetFormatPr baseColWidth="10" defaultRowHeight="12.75" x14ac:dyDescent="0.2"/>
  <cols>
    <col min="1" max="1" width="5.42578125" customWidth="1"/>
    <col min="2" max="2" width="57.28515625" customWidth="1"/>
    <col min="3" max="3" width="9.85546875" customWidth="1"/>
    <col min="4" max="4" width="10.7109375" customWidth="1"/>
    <col min="5" max="5" width="12.7109375" customWidth="1"/>
    <col min="6" max="6" width="17.140625" customWidth="1"/>
  </cols>
  <sheetData>
    <row r="1" spans="1:6" x14ac:dyDescent="0.2">
      <c r="B1" s="151"/>
      <c r="E1" s="152"/>
      <c r="F1" s="153"/>
    </row>
    <row r="2" spans="1:6" x14ac:dyDescent="0.2">
      <c r="B2" s="151"/>
      <c r="E2" s="152"/>
      <c r="F2" s="153"/>
    </row>
    <row r="3" spans="1:6" ht="27" thickBot="1" x14ac:dyDescent="0.45">
      <c r="A3" s="253" t="s">
        <v>187</v>
      </c>
      <c r="B3" s="253"/>
      <c r="C3" s="253"/>
      <c r="D3" s="253"/>
      <c r="E3" s="253"/>
      <c r="F3" s="253"/>
    </row>
    <row r="4" spans="1:6" ht="19.5" thickBot="1" x14ac:dyDescent="0.35">
      <c r="A4" s="254" t="s">
        <v>188</v>
      </c>
      <c r="B4" s="255"/>
      <c r="C4" s="255"/>
      <c r="D4" s="255"/>
      <c r="E4" s="255"/>
      <c r="F4" s="256"/>
    </row>
    <row r="5" spans="1:6" ht="13.5" thickBot="1" x14ac:dyDescent="0.25">
      <c r="A5" t="s">
        <v>398</v>
      </c>
      <c r="B5" s="151"/>
      <c r="E5" s="154"/>
      <c r="F5" s="155"/>
    </row>
    <row r="6" spans="1:6" ht="15" x14ac:dyDescent="0.25">
      <c r="A6" s="156" t="s">
        <v>0</v>
      </c>
      <c r="B6" s="157" t="s">
        <v>189</v>
      </c>
      <c r="C6" s="158" t="s">
        <v>190</v>
      </c>
      <c r="D6" s="158" t="s">
        <v>191</v>
      </c>
      <c r="E6" s="159" t="s">
        <v>192</v>
      </c>
      <c r="F6" s="160" t="s">
        <v>5</v>
      </c>
    </row>
    <row r="7" spans="1:6" ht="26.25" customHeight="1" x14ac:dyDescent="0.25">
      <c r="A7" s="257" t="s">
        <v>193</v>
      </c>
      <c r="B7" s="258"/>
      <c r="C7" s="161"/>
      <c r="D7" s="161"/>
      <c r="E7" s="162"/>
      <c r="F7" s="163"/>
    </row>
    <row r="8" spans="1:6" ht="15" x14ac:dyDescent="0.25">
      <c r="A8" s="164" t="s">
        <v>194</v>
      </c>
      <c r="B8" s="165" t="s">
        <v>195</v>
      </c>
      <c r="C8" s="161"/>
      <c r="D8" s="161"/>
      <c r="E8" s="162"/>
      <c r="F8" s="163"/>
    </row>
    <row r="9" spans="1:6" ht="15" x14ac:dyDescent="0.25">
      <c r="A9" s="164" t="s">
        <v>196</v>
      </c>
      <c r="B9" s="166" t="s">
        <v>197</v>
      </c>
      <c r="C9" s="167" t="s">
        <v>3</v>
      </c>
      <c r="D9" s="167">
        <v>1</v>
      </c>
      <c r="E9" s="184"/>
      <c r="F9" s="168"/>
    </row>
    <row r="10" spans="1:6" ht="15" x14ac:dyDescent="0.25">
      <c r="A10" s="169" t="s">
        <v>198</v>
      </c>
      <c r="B10" s="170" t="s">
        <v>199</v>
      </c>
      <c r="C10" s="171"/>
      <c r="D10" s="171"/>
      <c r="E10" s="188"/>
      <c r="F10" s="168"/>
    </row>
    <row r="11" spans="1:6" ht="15" x14ac:dyDescent="0.25">
      <c r="A11" s="172" t="s">
        <v>200</v>
      </c>
      <c r="B11" s="170" t="s">
        <v>201</v>
      </c>
      <c r="C11" s="173"/>
      <c r="D11" s="174"/>
      <c r="E11" s="188"/>
      <c r="F11" s="168"/>
    </row>
    <row r="12" spans="1:6" s="290" customFormat="1" ht="17.25" x14ac:dyDescent="0.25">
      <c r="A12" s="336" t="s">
        <v>202</v>
      </c>
      <c r="B12" s="342" t="s">
        <v>418</v>
      </c>
      <c r="C12" s="336" t="s">
        <v>203</v>
      </c>
      <c r="D12" s="338">
        <f>312+570</f>
        <v>882</v>
      </c>
      <c r="E12" s="339"/>
      <c r="F12" s="340"/>
    </row>
    <row r="13" spans="1:6" s="290" customFormat="1" ht="17.25" x14ac:dyDescent="0.25">
      <c r="A13" s="336" t="s">
        <v>204</v>
      </c>
      <c r="B13" s="341" t="s">
        <v>205</v>
      </c>
      <c r="C13" s="336" t="s">
        <v>203</v>
      </c>
      <c r="D13" s="338">
        <v>102.5</v>
      </c>
      <c r="E13" s="339"/>
      <c r="F13" s="340"/>
    </row>
    <row r="14" spans="1:6" s="290" customFormat="1" ht="15" x14ac:dyDescent="0.25">
      <c r="A14" s="336" t="s">
        <v>206</v>
      </c>
      <c r="B14" s="341" t="s">
        <v>207</v>
      </c>
      <c r="C14" s="336" t="s">
        <v>9</v>
      </c>
      <c r="D14" s="338">
        <v>267</v>
      </c>
      <c r="E14" s="339"/>
      <c r="F14" s="340"/>
    </row>
    <row r="15" spans="1:6" s="290" customFormat="1" ht="15" x14ac:dyDescent="0.25">
      <c r="A15" s="336" t="s">
        <v>208</v>
      </c>
      <c r="B15" s="341" t="s">
        <v>209</v>
      </c>
      <c r="C15" s="336" t="s">
        <v>9</v>
      </c>
      <c r="D15" s="338">
        <v>91.5</v>
      </c>
      <c r="E15" s="339"/>
      <c r="F15" s="340"/>
    </row>
    <row r="16" spans="1:6" s="290" customFormat="1" ht="15" x14ac:dyDescent="0.25">
      <c r="A16" s="336" t="s">
        <v>210</v>
      </c>
      <c r="B16" s="341" t="s">
        <v>211</v>
      </c>
      <c r="C16" s="336" t="s">
        <v>9</v>
      </c>
      <c r="D16" s="338">
        <v>84</v>
      </c>
      <c r="E16" s="339"/>
      <c r="F16" s="340"/>
    </row>
    <row r="17" spans="1:6" s="290" customFormat="1" ht="15" x14ac:dyDescent="0.25">
      <c r="A17" s="336" t="s">
        <v>212</v>
      </c>
      <c r="B17" s="342" t="s">
        <v>419</v>
      </c>
      <c r="C17" s="343" t="s">
        <v>9</v>
      </c>
      <c r="D17" s="338">
        <v>570</v>
      </c>
      <c r="E17" s="339"/>
      <c r="F17" s="340"/>
    </row>
    <row r="18" spans="1:6" s="290" customFormat="1" ht="15" x14ac:dyDescent="0.25">
      <c r="A18" s="344" t="s">
        <v>213</v>
      </c>
      <c r="B18" s="345" t="s">
        <v>214</v>
      </c>
      <c r="C18" s="336"/>
      <c r="D18" s="338"/>
      <c r="E18" s="339"/>
      <c r="F18" s="340"/>
    </row>
    <row r="19" spans="1:6" s="290" customFormat="1" ht="15" x14ac:dyDescent="0.25">
      <c r="A19" s="336" t="s">
        <v>215</v>
      </c>
      <c r="B19" s="341" t="s">
        <v>216</v>
      </c>
      <c r="C19" s="336" t="s">
        <v>9</v>
      </c>
      <c r="D19" s="338">
        <v>312</v>
      </c>
      <c r="E19" s="339"/>
      <c r="F19" s="340"/>
    </row>
    <row r="20" spans="1:6" s="290" customFormat="1" ht="15" x14ac:dyDescent="0.25">
      <c r="A20" s="336" t="s">
        <v>217</v>
      </c>
      <c r="B20" s="342" t="s">
        <v>417</v>
      </c>
      <c r="C20" s="336" t="s">
        <v>9</v>
      </c>
      <c r="D20" s="338">
        <v>570</v>
      </c>
      <c r="E20" s="339"/>
      <c r="F20" s="340"/>
    </row>
    <row r="21" spans="1:6" s="290" customFormat="1" ht="15" x14ac:dyDescent="0.25">
      <c r="A21" s="336" t="s">
        <v>218</v>
      </c>
      <c r="B21" s="342" t="s">
        <v>420</v>
      </c>
      <c r="C21" s="336" t="s">
        <v>9</v>
      </c>
      <c r="D21" s="338">
        <v>534</v>
      </c>
      <c r="E21" s="339"/>
      <c r="F21" s="340"/>
    </row>
    <row r="22" spans="1:6" s="356" customFormat="1" ht="15" x14ac:dyDescent="0.25">
      <c r="A22" s="343" t="s">
        <v>219</v>
      </c>
      <c r="B22" s="342" t="s">
        <v>220</v>
      </c>
      <c r="C22" s="343" t="s">
        <v>9</v>
      </c>
      <c r="D22" s="353">
        <v>60</v>
      </c>
      <c r="E22" s="354"/>
      <c r="F22" s="355"/>
    </row>
    <row r="23" spans="1:6" s="290" customFormat="1" ht="15" x14ac:dyDescent="0.25">
      <c r="A23" s="344" t="s">
        <v>221</v>
      </c>
      <c r="B23" s="345" t="s">
        <v>222</v>
      </c>
      <c r="C23" s="336"/>
      <c r="D23" s="338"/>
      <c r="E23" s="339"/>
      <c r="F23" s="340"/>
    </row>
    <row r="24" spans="1:6" s="290" customFormat="1" ht="17.25" x14ac:dyDescent="0.25">
      <c r="A24" s="336" t="s">
        <v>223</v>
      </c>
      <c r="B24" s="341" t="s">
        <v>224</v>
      </c>
      <c r="C24" s="336" t="s">
        <v>203</v>
      </c>
      <c r="D24" s="338">
        <v>32</v>
      </c>
      <c r="E24" s="339"/>
      <c r="F24" s="340"/>
    </row>
    <row r="25" spans="1:6" s="290" customFormat="1" ht="17.25" x14ac:dyDescent="0.25">
      <c r="A25" s="336" t="s">
        <v>225</v>
      </c>
      <c r="B25" s="341" t="s">
        <v>226</v>
      </c>
      <c r="C25" s="336" t="s">
        <v>203</v>
      </c>
      <c r="D25" s="338">
        <v>15</v>
      </c>
      <c r="E25" s="339"/>
      <c r="F25" s="340"/>
    </row>
    <row r="26" spans="1:6" s="290" customFormat="1" ht="15" x14ac:dyDescent="0.25">
      <c r="A26" s="336" t="s">
        <v>227</v>
      </c>
      <c r="B26" s="342" t="s">
        <v>421</v>
      </c>
      <c r="C26" s="343" t="s">
        <v>39</v>
      </c>
      <c r="D26" s="353">
        <v>56</v>
      </c>
      <c r="E26" s="357"/>
      <c r="F26" s="358"/>
    </row>
    <row r="27" spans="1:6" s="290" customFormat="1" ht="15" x14ac:dyDescent="0.25">
      <c r="A27" s="336" t="s">
        <v>228</v>
      </c>
      <c r="B27" s="341" t="s">
        <v>229</v>
      </c>
      <c r="C27" s="336" t="s">
        <v>3</v>
      </c>
      <c r="D27" s="338">
        <v>5</v>
      </c>
      <c r="E27" s="339"/>
      <c r="F27" s="340"/>
    </row>
    <row r="28" spans="1:6" s="290" customFormat="1" ht="15" x14ac:dyDescent="0.25">
      <c r="A28" s="336" t="s">
        <v>230</v>
      </c>
      <c r="B28" s="341" t="s">
        <v>231</v>
      </c>
      <c r="C28" s="336" t="s">
        <v>39</v>
      </c>
      <c r="D28" s="338">
        <v>46</v>
      </c>
      <c r="E28" s="339"/>
      <c r="F28" s="340"/>
    </row>
    <row r="29" spans="1:6" s="290" customFormat="1" ht="15" x14ac:dyDescent="0.25">
      <c r="A29" s="336" t="s">
        <v>232</v>
      </c>
      <c r="B29" s="341" t="s">
        <v>233</v>
      </c>
      <c r="C29" s="336" t="s">
        <v>39</v>
      </c>
      <c r="D29" s="338">
        <v>28</v>
      </c>
      <c r="E29" s="339"/>
      <c r="F29" s="340"/>
    </row>
    <row r="30" spans="1:6" s="290" customFormat="1" ht="15" x14ac:dyDescent="0.25">
      <c r="A30" s="336" t="s">
        <v>234</v>
      </c>
      <c r="B30" s="341" t="s">
        <v>235</v>
      </c>
      <c r="C30" s="336" t="s">
        <v>39</v>
      </c>
      <c r="D30" s="338">
        <v>119</v>
      </c>
      <c r="E30" s="339"/>
      <c r="F30" s="340"/>
    </row>
    <row r="31" spans="1:6" s="290" customFormat="1" ht="15" x14ac:dyDescent="0.25">
      <c r="A31" s="336" t="s">
        <v>236</v>
      </c>
      <c r="B31" s="341" t="s">
        <v>237</v>
      </c>
      <c r="C31" s="336" t="s">
        <v>39</v>
      </c>
      <c r="D31" s="338">
        <v>167</v>
      </c>
      <c r="E31" s="339"/>
      <c r="F31" s="340"/>
    </row>
    <row r="32" spans="1:6" s="290" customFormat="1" ht="57.75" customHeight="1" x14ac:dyDescent="0.25">
      <c r="A32" s="372" t="s">
        <v>238</v>
      </c>
      <c r="B32" s="337" t="s">
        <v>239</v>
      </c>
      <c r="C32" s="372" t="s">
        <v>39</v>
      </c>
      <c r="D32" s="359"/>
      <c r="E32" s="360"/>
      <c r="F32" s="361"/>
    </row>
    <row r="33" spans="1:6" s="290" customFormat="1" ht="59.25" customHeight="1" x14ac:dyDescent="0.25">
      <c r="A33" s="336" t="s">
        <v>240</v>
      </c>
      <c r="B33" s="346" t="s">
        <v>241</v>
      </c>
      <c r="C33" s="336" t="s">
        <v>39</v>
      </c>
      <c r="D33" s="338">
        <v>12</v>
      </c>
      <c r="E33" s="339"/>
      <c r="F33" s="340"/>
    </row>
    <row r="34" spans="1:6" s="290" customFormat="1" ht="60" customHeight="1" x14ac:dyDescent="0.25">
      <c r="A34" s="336" t="s">
        <v>242</v>
      </c>
      <c r="B34" s="346" t="s">
        <v>243</v>
      </c>
      <c r="C34" s="336" t="s">
        <v>190</v>
      </c>
      <c r="D34" s="338">
        <v>4</v>
      </c>
      <c r="E34" s="339"/>
      <c r="F34" s="340"/>
    </row>
    <row r="35" spans="1:6" s="290" customFormat="1" ht="63" customHeight="1" x14ac:dyDescent="0.25">
      <c r="A35" s="336" t="s">
        <v>244</v>
      </c>
      <c r="B35" s="346" t="s">
        <v>245</v>
      </c>
      <c r="C35" s="336" t="s">
        <v>190</v>
      </c>
      <c r="D35" s="338">
        <v>2</v>
      </c>
      <c r="E35" s="339"/>
      <c r="F35" s="340"/>
    </row>
    <row r="36" spans="1:6" s="290" customFormat="1" ht="26.25" x14ac:dyDescent="0.25">
      <c r="A36" s="336" t="s">
        <v>246</v>
      </c>
      <c r="B36" s="346" t="s">
        <v>247</v>
      </c>
      <c r="C36" s="336" t="s">
        <v>9</v>
      </c>
      <c r="D36" s="338">
        <v>110</v>
      </c>
      <c r="E36" s="339"/>
      <c r="F36" s="340"/>
    </row>
    <row r="37" spans="1:6" s="290" customFormat="1" ht="26.25" hidden="1" x14ac:dyDescent="0.25">
      <c r="A37" s="336" t="s">
        <v>248</v>
      </c>
      <c r="B37" s="346" t="s">
        <v>249</v>
      </c>
      <c r="C37" s="336" t="s">
        <v>9</v>
      </c>
      <c r="D37" s="338">
        <f>D36</f>
        <v>110</v>
      </c>
      <c r="E37" s="339"/>
      <c r="F37" s="340"/>
    </row>
    <row r="38" spans="1:6" s="290" customFormat="1" ht="33.75" customHeight="1" x14ac:dyDescent="0.25">
      <c r="A38" s="336" t="s">
        <v>250</v>
      </c>
      <c r="B38" s="337" t="s">
        <v>415</v>
      </c>
      <c r="C38" s="336" t="s">
        <v>9</v>
      </c>
      <c r="D38" s="338">
        <f>D37</f>
        <v>110</v>
      </c>
      <c r="E38" s="339"/>
      <c r="F38" s="340"/>
    </row>
    <row r="39" spans="1:6" s="290" customFormat="1" ht="27" customHeight="1" x14ac:dyDescent="0.25">
      <c r="A39" s="336" t="s">
        <v>251</v>
      </c>
      <c r="B39" s="337" t="s">
        <v>416</v>
      </c>
      <c r="C39" s="336" t="s">
        <v>9</v>
      </c>
      <c r="D39" s="338">
        <v>90</v>
      </c>
      <c r="E39" s="339"/>
      <c r="F39" s="340"/>
    </row>
    <row r="40" spans="1:6" s="290" customFormat="1" ht="15" x14ac:dyDescent="0.25">
      <c r="A40" s="344" t="s">
        <v>252</v>
      </c>
      <c r="B40" s="345" t="s">
        <v>253</v>
      </c>
      <c r="C40" s="336" t="s">
        <v>39</v>
      </c>
      <c r="D40" s="338"/>
      <c r="E40" s="339"/>
      <c r="F40" s="340"/>
    </row>
    <row r="41" spans="1:6" s="290" customFormat="1" ht="15" x14ac:dyDescent="0.25">
      <c r="A41" s="336" t="s">
        <v>254</v>
      </c>
      <c r="B41" s="341" t="s">
        <v>255</v>
      </c>
      <c r="C41" s="336" t="s">
        <v>9</v>
      </c>
      <c r="D41" s="338">
        <v>230</v>
      </c>
      <c r="E41" s="339"/>
      <c r="F41" s="340"/>
    </row>
    <row r="42" spans="1:6" s="290" customFormat="1" ht="15" x14ac:dyDescent="0.25">
      <c r="A42" s="336" t="s">
        <v>256</v>
      </c>
      <c r="B42" s="342" t="s">
        <v>257</v>
      </c>
      <c r="C42" s="343" t="s">
        <v>3</v>
      </c>
      <c r="D42" s="353">
        <v>4</v>
      </c>
      <c r="E42" s="354"/>
      <c r="F42" s="355"/>
    </row>
    <row r="43" spans="1:6" s="290" customFormat="1" ht="15" x14ac:dyDescent="0.25">
      <c r="A43" s="336" t="s">
        <v>258</v>
      </c>
      <c r="B43" s="341" t="s">
        <v>259</v>
      </c>
      <c r="C43" s="336" t="s">
        <v>3</v>
      </c>
      <c r="D43" s="338">
        <v>5</v>
      </c>
      <c r="E43" s="339"/>
      <c r="F43" s="340"/>
    </row>
    <row r="44" spans="1:6" s="290" customFormat="1" ht="15" x14ac:dyDescent="0.25">
      <c r="A44" s="336" t="s">
        <v>260</v>
      </c>
      <c r="B44" s="341" t="s">
        <v>261</v>
      </c>
      <c r="C44" s="336" t="s">
        <v>262</v>
      </c>
      <c r="D44" s="338">
        <v>1</v>
      </c>
      <c r="E44" s="339"/>
      <c r="F44" s="340"/>
    </row>
    <row r="45" spans="1:6" s="290" customFormat="1" ht="15" x14ac:dyDescent="0.25">
      <c r="A45" s="362" t="s">
        <v>263</v>
      </c>
      <c r="B45" s="363"/>
      <c r="C45" s="363"/>
      <c r="D45" s="364"/>
      <c r="E45" s="339"/>
      <c r="F45" s="340"/>
    </row>
    <row r="46" spans="1:6" s="290" customFormat="1" ht="15" x14ac:dyDescent="0.25">
      <c r="A46" s="344" t="s">
        <v>264</v>
      </c>
      <c r="B46" s="345" t="s">
        <v>195</v>
      </c>
      <c r="C46" s="336"/>
      <c r="D46" s="338"/>
      <c r="E46" s="339"/>
      <c r="F46" s="340"/>
    </row>
    <row r="47" spans="1:6" s="290" customFormat="1" ht="15" x14ac:dyDescent="0.25">
      <c r="A47" s="336" t="s">
        <v>265</v>
      </c>
      <c r="B47" s="341" t="s">
        <v>197</v>
      </c>
      <c r="C47" s="336" t="s">
        <v>3</v>
      </c>
      <c r="D47" s="338">
        <v>1</v>
      </c>
      <c r="E47" s="339"/>
      <c r="F47" s="340"/>
    </row>
    <row r="48" spans="1:6" s="290" customFormat="1" ht="15" x14ac:dyDescent="0.25">
      <c r="A48" s="344" t="s">
        <v>266</v>
      </c>
      <c r="B48" s="345" t="s">
        <v>199</v>
      </c>
      <c r="C48" s="336"/>
      <c r="D48" s="338"/>
      <c r="E48" s="339"/>
      <c r="F48" s="340"/>
    </row>
    <row r="49" spans="1:6" s="290" customFormat="1" ht="15" x14ac:dyDescent="0.25">
      <c r="A49" s="344"/>
      <c r="B49" s="345"/>
      <c r="C49" s="336"/>
      <c r="D49" s="338"/>
      <c r="E49" s="339"/>
      <c r="F49" s="340"/>
    </row>
    <row r="50" spans="1:6" s="290" customFormat="1" ht="15" x14ac:dyDescent="0.25">
      <c r="A50" s="344" t="s">
        <v>267</v>
      </c>
      <c r="B50" s="345" t="s">
        <v>268</v>
      </c>
      <c r="C50" s="336"/>
      <c r="D50" s="338"/>
      <c r="E50" s="339"/>
      <c r="F50" s="340"/>
    </row>
    <row r="51" spans="1:6" s="290" customFormat="1" ht="17.25" x14ac:dyDescent="0.25">
      <c r="A51" s="336" t="s">
        <v>269</v>
      </c>
      <c r="B51" s="341" t="s">
        <v>270</v>
      </c>
      <c r="C51" s="336" t="s">
        <v>203</v>
      </c>
      <c r="D51" s="338">
        <v>360</v>
      </c>
      <c r="E51" s="339"/>
      <c r="F51" s="340"/>
    </row>
    <row r="52" spans="1:6" s="290" customFormat="1" ht="17.25" x14ac:dyDescent="0.25">
      <c r="A52" s="336" t="s">
        <v>271</v>
      </c>
      <c r="B52" s="341" t="s">
        <v>272</v>
      </c>
      <c r="C52" s="336" t="s">
        <v>203</v>
      </c>
      <c r="D52" s="338">
        <v>585</v>
      </c>
      <c r="E52" s="339"/>
      <c r="F52" s="340"/>
    </row>
    <row r="53" spans="1:6" s="290" customFormat="1" ht="15" x14ac:dyDescent="0.25">
      <c r="A53" s="336" t="s">
        <v>273</v>
      </c>
      <c r="B53" s="342" t="s">
        <v>422</v>
      </c>
      <c r="C53" s="343" t="s">
        <v>9</v>
      </c>
      <c r="D53" s="338">
        <v>282</v>
      </c>
      <c r="E53" s="339"/>
      <c r="F53" s="340"/>
    </row>
    <row r="54" spans="1:6" s="290" customFormat="1" ht="15" x14ac:dyDescent="0.25">
      <c r="A54" s="344" t="s">
        <v>274</v>
      </c>
      <c r="B54" s="345" t="s">
        <v>275</v>
      </c>
      <c r="C54" s="336"/>
      <c r="D54" s="338"/>
      <c r="E54" s="339"/>
      <c r="F54" s="340"/>
    </row>
    <row r="55" spans="1:6" s="290" customFormat="1" ht="15" x14ac:dyDescent="0.25">
      <c r="A55" s="336" t="s">
        <v>276</v>
      </c>
      <c r="B55" s="341" t="s">
        <v>277</v>
      </c>
      <c r="C55" s="336" t="s">
        <v>9</v>
      </c>
      <c r="D55" s="338">
        <v>3</v>
      </c>
      <c r="E55" s="339"/>
      <c r="F55" s="340"/>
    </row>
    <row r="56" spans="1:6" s="290" customFormat="1" ht="15" x14ac:dyDescent="0.25">
      <c r="A56" s="336" t="s">
        <v>278</v>
      </c>
      <c r="B56" s="341" t="s">
        <v>279</v>
      </c>
      <c r="C56" s="336" t="s">
        <v>9</v>
      </c>
      <c r="D56" s="338">
        <v>2.5</v>
      </c>
      <c r="E56" s="339"/>
      <c r="F56" s="340"/>
    </row>
    <row r="57" spans="1:6" s="290" customFormat="1" ht="15" x14ac:dyDescent="0.25">
      <c r="A57" s="336" t="s">
        <v>280</v>
      </c>
      <c r="B57" s="341" t="s">
        <v>281</v>
      </c>
      <c r="C57" s="336" t="s">
        <v>282</v>
      </c>
      <c r="D57" s="338">
        <v>2</v>
      </c>
      <c r="E57" s="339"/>
      <c r="F57" s="340"/>
    </row>
    <row r="58" spans="1:6" s="290" customFormat="1" ht="15" x14ac:dyDescent="0.25">
      <c r="A58" s="336" t="s">
        <v>283</v>
      </c>
      <c r="B58" s="341" t="s">
        <v>284</v>
      </c>
      <c r="C58" s="336" t="s">
        <v>9</v>
      </c>
      <c r="D58" s="338">
        <v>12</v>
      </c>
      <c r="E58" s="339"/>
      <c r="F58" s="340"/>
    </row>
    <row r="59" spans="1:6" s="290" customFormat="1" ht="15" x14ac:dyDescent="0.25">
      <c r="A59" s="336" t="s">
        <v>285</v>
      </c>
      <c r="B59" s="341" t="s">
        <v>286</v>
      </c>
      <c r="C59" s="336" t="s">
        <v>39</v>
      </c>
      <c r="D59" s="338">
        <v>40</v>
      </c>
      <c r="E59" s="339"/>
      <c r="F59" s="340"/>
    </row>
    <row r="60" spans="1:6" s="290" customFormat="1" ht="15" x14ac:dyDescent="0.25">
      <c r="A60" s="336" t="s">
        <v>287</v>
      </c>
      <c r="B60" s="341" t="s">
        <v>288</v>
      </c>
      <c r="C60" s="336" t="s">
        <v>39</v>
      </c>
      <c r="D60" s="338">
        <v>100</v>
      </c>
      <c r="E60" s="339"/>
      <c r="F60" s="340"/>
    </row>
    <row r="61" spans="1:6" s="290" customFormat="1" ht="17.25" customHeight="1" x14ac:dyDescent="0.25">
      <c r="A61" s="336" t="s">
        <v>289</v>
      </c>
      <c r="B61" s="342" t="s">
        <v>414</v>
      </c>
      <c r="C61" s="336" t="s">
        <v>282</v>
      </c>
      <c r="D61" s="338">
        <v>8</v>
      </c>
      <c r="E61" s="339"/>
      <c r="F61" s="340"/>
    </row>
    <row r="62" spans="1:6" s="290" customFormat="1" ht="25.5" customHeight="1" x14ac:dyDescent="0.25">
      <c r="A62" s="336"/>
      <c r="B62" s="337" t="s">
        <v>423</v>
      </c>
      <c r="C62" s="343" t="s">
        <v>9</v>
      </c>
      <c r="D62" s="338">
        <v>615</v>
      </c>
      <c r="E62" s="339"/>
      <c r="F62" s="340"/>
    </row>
    <row r="63" spans="1:6" s="290" customFormat="1" ht="15" x14ac:dyDescent="0.25">
      <c r="A63" s="344" t="s">
        <v>290</v>
      </c>
      <c r="B63" s="345" t="s">
        <v>291</v>
      </c>
      <c r="C63" s="336"/>
      <c r="D63" s="338"/>
      <c r="E63" s="339"/>
      <c r="F63" s="340"/>
    </row>
    <row r="64" spans="1:6" s="290" customFormat="1" ht="154.5" customHeight="1" x14ac:dyDescent="0.25">
      <c r="A64" s="336" t="s">
        <v>292</v>
      </c>
      <c r="B64" s="351" t="s">
        <v>293</v>
      </c>
      <c r="C64" s="336" t="s">
        <v>203</v>
      </c>
      <c r="D64" s="338">
        <v>897</v>
      </c>
      <c r="E64" s="339"/>
      <c r="F64" s="340"/>
    </row>
    <row r="65" spans="1:6" s="290" customFormat="1" ht="135.75" customHeight="1" x14ac:dyDescent="0.25">
      <c r="A65" s="336" t="s">
        <v>294</v>
      </c>
      <c r="B65" s="351" t="s">
        <v>295</v>
      </c>
      <c r="C65" s="336" t="s">
        <v>203</v>
      </c>
      <c r="D65" s="338">
        <v>217</v>
      </c>
      <c r="E65" s="339"/>
      <c r="F65" s="340"/>
    </row>
    <row r="66" spans="1:6" s="290" customFormat="1" ht="205.5" customHeight="1" x14ac:dyDescent="0.25">
      <c r="A66" s="336" t="s">
        <v>296</v>
      </c>
      <c r="B66" s="351" t="s">
        <v>297</v>
      </c>
      <c r="C66" s="336" t="s">
        <v>39</v>
      </c>
      <c r="D66" s="338">
        <v>24</v>
      </c>
      <c r="E66" s="339"/>
      <c r="F66" s="340"/>
    </row>
    <row r="67" spans="1:6" s="290" customFormat="1" ht="153" x14ac:dyDescent="0.25">
      <c r="A67" s="336" t="s">
        <v>298</v>
      </c>
      <c r="B67" s="351" t="s">
        <v>299</v>
      </c>
      <c r="C67" s="336" t="s">
        <v>39</v>
      </c>
      <c r="D67" s="338">
        <v>118.9</v>
      </c>
      <c r="E67" s="339"/>
      <c r="F67" s="340"/>
    </row>
    <row r="68" spans="1:6" s="290" customFormat="1" ht="141.75" customHeight="1" x14ac:dyDescent="0.25">
      <c r="A68" s="336" t="s">
        <v>300</v>
      </c>
      <c r="B68" s="351" t="s">
        <v>301</v>
      </c>
      <c r="C68" s="336" t="s">
        <v>39</v>
      </c>
      <c r="D68" s="338">
        <f>11.92*2*7</f>
        <v>166.88</v>
      </c>
      <c r="E68" s="339"/>
      <c r="F68" s="340"/>
    </row>
    <row r="69" spans="1:6" s="290" customFormat="1" ht="116.25" customHeight="1" x14ac:dyDescent="0.25">
      <c r="A69" s="336" t="s">
        <v>302</v>
      </c>
      <c r="B69" s="351" t="s">
        <v>303</v>
      </c>
      <c r="C69" s="336" t="s">
        <v>39</v>
      </c>
      <c r="D69" s="338">
        <f>+(33*4)+(11*2)</f>
        <v>154</v>
      </c>
      <c r="E69" s="339"/>
      <c r="F69" s="340"/>
    </row>
    <row r="70" spans="1:6" s="290" customFormat="1" ht="15" x14ac:dyDescent="0.25">
      <c r="A70" s="344" t="s">
        <v>304</v>
      </c>
      <c r="B70" s="345" t="s">
        <v>305</v>
      </c>
      <c r="C70" s="345"/>
      <c r="D70" s="345"/>
      <c r="E70" s="339"/>
      <c r="F70" s="340"/>
    </row>
    <row r="71" spans="1:6" s="290" customFormat="1" ht="26.25" x14ac:dyDescent="0.25">
      <c r="A71" s="336" t="s">
        <v>306</v>
      </c>
      <c r="B71" s="346" t="s">
        <v>307</v>
      </c>
      <c r="C71" s="336" t="s">
        <v>203</v>
      </c>
      <c r="D71" s="338">
        <v>466</v>
      </c>
      <c r="E71" s="339"/>
      <c r="F71" s="340"/>
    </row>
    <row r="72" spans="1:6" s="290" customFormat="1" ht="17.25" x14ac:dyDescent="0.25">
      <c r="A72" s="336" t="s">
        <v>308</v>
      </c>
      <c r="B72" s="341" t="s">
        <v>309</v>
      </c>
      <c r="C72" s="336" t="s">
        <v>203</v>
      </c>
      <c r="D72" s="338">
        <v>1000</v>
      </c>
      <c r="E72" s="339"/>
      <c r="F72" s="340"/>
    </row>
    <row r="73" spans="1:6" s="290" customFormat="1" ht="17.25" x14ac:dyDescent="0.25">
      <c r="A73" s="336" t="s">
        <v>310</v>
      </c>
      <c r="B73" s="341" t="s">
        <v>311</v>
      </c>
      <c r="C73" s="336" t="s">
        <v>203</v>
      </c>
      <c r="D73" s="338">
        <f>D72+D71</f>
        <v>1466</v>
      </c>
      <c r="E73" s="339"/>
      <c r="F73" s="340"/>
    </row>
    <row r="74" spans="1:6" s="290" customFormat="1" ht="17.25" x14ac:dyDescent="0.25">
      <c r="A74" s="336" t="s">
        <v>312</v>
      </c>
      <c r="B74" s="341" t="s">
        <v>313</v>
      </c>
      <c r="C74" s="336" t="s">
        <v>203</v>
      </c>
      <c r="D74" s="338">
        <f>D73</f>
        <v>1466</v>
      </c>
      <c r="E74" s="339"/>
      <c r="F74" s="340"/>
    </row>
    <row r="75" spans="1:6" s="290" customFormat="1" ht="17.25" x14ac:dyDescent="0.25">
      <c r="A75" s="336" t="s">
        <v>314</v>
      </c>
      <c r="B75" s="341" t="s">
        <v>315</v>
      </c>
      <c r="C75" s="336" t="s">
        <v>203</v>
      </c>
      <c r="D75" s="353">
        <v>150</v>
      </c>
      <c r="E75" s="339"/>
      <c r="F75" s="340"/>
    </row>
    <row r="76" spans="1:6" s="290" customFormat="1" ht="26.25" x14ac:dyDescent="0.25">
      <c r="A76" s="336" t="s">
        <v>316</v>
      </c>
      <c r="B76" s="346" t="s">
        <v>317</v>
      </c>
      <c r="C76" s="336" t="s">
        <v>203</v>
      </c>
      <c r="D76" s="353">
        <v>170</v>
      </c>
      <c r="E76" s="339"/>
      <c r="F76" s="340"/>
    </row>
    <row r="77" spans="1:6" s="290" customFormat="1" ht="39" x14ac:dyDescent="0.25">
      <c r="A77" s="336" t="s">
        <v>318</v>
      </c>
      <c r="B77" s="346" t="s">
        <v>319</v>
      </c>
      <c r="C77" s="336" t="s">
        <v>203</v>
      </c>
      <c r="D77" s="338">
        <v>329</v>
      </c>
      <c r="E77" s="339"/>
      <c r="F77" s="340"/>
    </row>
    <row r="78" spans="1:6" s="290" customFormat="1" ht="26.25" x14ac:dyDescent="0.25">
      <c r="A78" s="336" t="s">
        <v>320</v>
      </c>
      <c r="B78" s="346" t="s">
        <v>321</v>
      </c>
      <c r="C78" s="336" t="s">
        <v>9</v>
      </c>
      <c r="D78" s="338">
        <f>91+65+68+68+73+73</f>
        <v>438</v>
      </c>
      <c r="E78" s="339"/>
      <c r="F78" s="340"/>
    </row>
    <row r="79" spans="1:6" s="290" customFormat="1" ht="15" x14ac:dyDescent="0.25">
      <c r="A79" s="336" t="s">
        <v>322</v>
      </c>
      <c r="B79" s="341" t="s">
        <v>323</v>
      </c>
      <c r="C79" s="336" t="s">
        <v>9</v>
      </c>
      <c r="D79" s="338">
        <v>40</v>
      </c>
      <c r="E79" s="339"/>
      <c r="F79" s="340"/>
    </row>
    <row r="80" spans="1:6" s="290" customFormat="1" ht="15" x14ac:dyDescent="0.25">
      <c r="A80" s="336" t="s">
        <v>324</v>
      </c>
      <c r="B80" s="341" t="s">
        <v>325</v>
      </c>
      <c r="C80" s="336" t="s">
        <v>262</v>
      </c>
      <c r="D80" s="338">
        <v>1</v>
      </c>
      <c r="E80" s="339"/>
      <c r="F80" s="340"/>
    </row>
    <row r="81" spans="1:6" s="290" customFormat="1" ht="15" x14ac:dyDescent="0.25">
      <c r="A81" s="336"/>
      <c r="B81" s="336" t="s">
        <v>326</v>
      </c>
      <c r="C81" s="336"/>
      <c r="D81" s="338"/>
      <c r="E81" s="339"/>
      <c r="F81" s="340"/>
    </row>
    <row r="82" spans="1:6" s="290" customFormat="1" ht="18.75" x14ac:dyDescent="0.3">
      <c r="A82" s="344" t="s">
        <v>136</v>
      </c>
      <c r="B82" s="365" t="s">
        <v>327</v>
      </c>
      <c r="C82" s="366"/>
      <c r="D82" s="367"/>
      <c r="E82" s="339"/>
      <c r="F82" s="340"/>
    </row>
    <row r="83" spans="1:6" s="290" customFormat="1" ht="39" x14ac:dyDescent="0.25">
      <c r="A83" s="336" t="s">
        <v>328</v>
      </c>
      <c r="B83" s="337" t="s">
        <v>409</v>
      </c>
      <c r="C83" s="336" t="s">
        <v>203</v>
      </c>
      <c r="D83" s="338">
        <v>1466</v>
      </c>
      <c r="E83" s="339"/>
      <c r="F83" s="340"/>
    </row>
    <row r="84" spans="1:6" s="290" customFormat="1" ht="17.25" x14ac:dyDescent="0.25">
      <c r="A84" s="336" t="s">
        <v>329</v>
      </c>
      <c r="B84" s="341" t="s">
        <v>309</v>
      </c>
      <c r="C84" s="336" t="s">
        <v>203</v>
      </c>
      <c r="D84" s="338">
        <f>D83</f>
        <v>1466</v>
      </c>
      <c r="E84" s="339"/>
      <c r="F84" s="340"/>
    </row>
    <row r="85" spans="1:6" s="290" customFormat="1" ht="17.25" x14ac:dyDescent="0.25">
      <c r="A85" s="336" t="s">
        <v>330</v>
      </c>
      <c r="B85" s="341" t="s">
        <v>311</v>
      </c>
      <c r="C85" s="336" t="s">
        <v>203</v>
      </c>
      <c r="D85" s="338">
        <f>D84</f>
        <v>1466</v>
      </c>
      <c r="E85" s="339"/>
      <c r="F85" s="340"/>
    </row>
    <row r="86" spans="1:6" s="290" customFormat="1" ht="17.25" x14ac:dyDescent="0.25">
      <c r="A86" s="336" t="s">
        <v>331</v>
      </c>
      <c r="B86" s="341" t="s">
        <v>332</v>
      </c>
      <c r="C86" s="336" t="s">
        <v>203</v>
      </c>
      <c r="D86" s="338">
        <f>D85</f>
        <v>1466</v>
      </c>
      <c r="E86" s="339"/>
      <c r="F86" s="340"/>
    </row>
    <row r="87" spans="1:6" s="290" customFormat="1" ht="15" x14ac:dyDescent="0.25">
      <c r="A87" s="336" t="s">
        <v>333</v>
      </c>
      <c r="B87" s="341" t="s">
        <v>334</v>
      </c>
      <c r="C87" s="336" t="s">
        <v>9</v>
      </c>
      <c r="D87" s="338">
        <f>D86</f>
        <v>1466</v>
      </c>
      <c r="E87" s="339"/>
      <c r="F87" s="340"/>
    </row>
    <row r="88" spans="1:6" s="290" customFormat="1" ht="15" x14ac:dyDescent="0.25">
      <c r="A88" s="336" t="s">
        <v>335</v>
      </c>
      <c r="B88" s="341" t="s">
        <v>336</v>
      </c>
      <c r="C88" s="336" t="s">
        <v>9</v>
      </c>
      <c r="D88" s="338">
        <f>D87</f>
        <v>1466</v>
      </c>
      <c r="E88" s="339"/>
      <c r="F88" s="340"/>
    </row>
    <row r="89" spans="1:6" s="290" customFormat="1" ht="15" x14ac:dyDescent="0.25">
      <c r="A89" s="336"/>
      <c r="B89" s="342" t="s">
        <v>408</v>
      </c>
      <c r="C89" s="343" t="s">
        <v>38</v>
      </c>
      <c r="D89" s="338">
        <v>9</v>
      </c>
      <c r="E89" s="339"/>
      <c r="F89" s="340"/>
    </row>
    <row r="90" spans="1:6" s="290" customFormat="1" ht="15" x14ac:dyDescent="0.25">
      <c r="A90" s="336"/>
      <c r="B90" s="342" t="s">
        <v>411</v>
      </c>
      <c r="C90" s="343" t="s">
        <v>9</v>
      </c>
      <c r="D90" s="338">
        <v>34</v>
      </c>
      <c r="E90" s="339"/>
      <c r="F90" s="340"/>
    </row>
    <row r="91" spans="1:6" s="290" customFormat="1" ht="15" x14ac:dyDescent="0.25">
      <c r="A91" s="336"/>
      <c r="B91" s="342" t="s">
        <v>410</v>
      </c>
      <c r="C91" s="343" t="s">
        <v>9</v>
      </c>
      <c r="D91" s="338">
        <v>485</v>
      </c>
      <c r="E91" s="339"/>
      <c r="F91" s="340"/>
    </row>
    <row r="92" spans="1:6" s="290" customFormat="1" ht="15" x14ac:dyDescent="0.25">
      <c r="A92" s="344" t="s">
        <v>137</v>
      </c>
      <c r="B92" s="345" t="s">
        <v>337</v>
      </c>
      <c r="C92" s="336"/>
      <c r="D92" s="338"/>
      <c r="E92" s="339"/>
      <c r="F92" s="340"/>
    </row>
    <row r="93" spans="1:6" s="290" customFormat="1" ht="26.25" x14ac:dyDescent="0.25">
      <c r="A93" s="336" t="s">
        <v>338</v>
      </c>
      <c r="B93" s="346" t="s">
        <v>339</v>
      </c>
      <c r="C93" s="336" t="s">
        <v>203</v>
      </c>
      <c r="D93" s="338">
        <f>326.5+(261*1.6)+(35+67)+(87*1.6)</f>
        <v>985.30000000000007</v>
      </c>
      <c r="E93" s="339"/>
      <c r="F93" s="340"/>
    </row>
    <row r="94" spans="1:6" s="290" customFormat="1" ht="17.25" x14ac:dyDescent="0.25">
      <c r="A94" s="336" t="s">
        <v>340</v>
      </c>
      <c r="B94" s="341" t="s">
        <v>341</v>
      </c>
      <c r="C94" s="336" t="s">
        <v>203</v>
      </c>
      <c r="D94" s="338">
        <f>+D93-D95</f>
        <v>744.1</v>
      </c>
      <c r="E94" s="339"/>
      <c r="F94" s="340"/>
    </row>
    <row r="95" spans="1:6" s="290" customFormat="1" ht="15" x14ac:dyDescent="0.25">
      <c r="A95" s="336" t="s">
        <v>342</v>
      </c>
      <c r="B95" s="341" t="s">
        <v>343</v>
      </c>
      <c r="C95" s="336" t="s">
        <v>9</v>
      </c>
      <c r="D95" s="338">
        <f>102+(87*1.6)</f>
        <v>241.20000000000002</v>
      </c>
      <c r="E95" s="339"/>
      <c r="F95" s="340"/>
    </row>
    <row r="96" spans="1:6" s="290" customFormat="1" ht="37.5" customHeight="1" x14ac:dyDescent="0.25">
      <c r="A96" s="336" t="s">
        <v>344</v>
      </c>
      <c r="B96" s="347" t="s">
        <v>345</v>
      </c>
      <c r="C96" s="348" t="s">
        <v>9</v>
      </c>
      <c r="D96" s="349">
        <v>702</v>
      </c>
      <c r="E96" s="339"/>
      <c r="F96" s="340"/>
    </row>
    <row r="97" spans="1:6" s="290" customFormat="1" ht="15" x14ac:dyDescent="0.25">
      <c r="A97" s="336" t="s">
        <v>346</v>
      </c>
      <c r="B97" s="341" t="s">
        <v>347</v>
      </c>
      <c r="C97" s="336" t="s">
        <v>262</v>
      </c>
      <c r="D97" s="338">
        <v>1</v>
      </c>
      <c r="E97" s="339"/>
      <c r="F97" s="340"/>
    </row>
    <row r="98" spans="1:6" s="290" customFormat="1" ht="15" x14ac:dyDescent="0.25">
      <c r="A98" s="344" t="s">
        <v>171</v>
      </c>
      <c r="B98" s="345" t="s">
        <v>348</v>
      </c>
      <c r="C98" s="336"/>
      <c r="D98" s="338"/>
      <c r="E98" s="339"/>
      <c r="F98" s="340"/>
    </row>
    <row r="99" spans="1:6" s="290" customFormat="1" ht="15" x14ac:dyDescent="0.25">
      <c r="A99" s="336" t="s">
        <v>349</v>
      </c>
      <c r="B99" s="342" t="s">
        <v>412</v>
      </c>
      <c r="C99" s="343" t="s">
        <v>38</v>
      </c>
      <c r="D99" s="338">
        <v>9</v>
      </c>
      <c r="E99" s="339"/>
      <c r="F99" s="340"/>
    </row>
    <row r="100" spans="1:6" s="290" customFormat="1" ht="15" x14ac:dyDescent="0.25">
      <c r="A100" s="336" t="s">
        <v>350</v>
      </c>
      <c r="B100" s="341" t="s">
        <v>351</v>
      </c>
      <c r="C100" s="336" t="s">
        <v>9</v>
      </c>
      <c r="D100" s="338">
        <v>34</v>
      </c>
      <c r="E100" s="339"/>
      <c r="F100" s="340"/>
    </row>
    <row r="101" spans="1:6" s="290" customFormat="1" ht="15" x14ac:dyDescent="0.25">
      <c r="A101" s="336" t="s">
        <v>352</v>
      </c>
      <c r="B101" s="341" t="s">
        <v>353</v>
      </c>
      <c r="C101" s="336" t="s">
        <v>9</v>
      </c>
      <c r="D101" s="338">
        <v>34</v>
      </c>
      <c r="E101" s="339"/>
      <c r="F101" s="340"/>
    </row>
    <row r="102" spans="1:6" s="290" customFormat="1" ht="15" x14ac:dyDescent="0.25">
      <c r="A102" s="336" t="s">
        <v>354</v>
      </c>
      <c r="B102" s="342" t="s">
        <v>407</v>
      </c>
      <c r="C102" s="336" t="s">
        <v>66</v>
      </c>
      <c r="D102" s="338">
        <v>9</v>
      </c>
      <c r="E102" s="339"/>
      <c r="F102" s="340"/>
    </row>
    <row r="103" spans="1:6" s="290" customFormat="1" ht="15" x14ac:dyDescent="0.25">
      <c r="A103" s="336" t="s">
        <v>355</v>
      </c>
      <c r="B103" s="342" t="s">
        <v>413</v>
      </c>
      <c r="C103" s="336" t="s">
        <v>9</v>
      </c>
      <c r="D103" s="338">
        <f>D91</f>
        <v>485</v>
      </c>
      <c r="E103" s="339"/>
      <c r="F103" s="340"/>
    </row>
    <row r="104" spans="1:6" s="290" customFormat="1" ht="15" x14ac:dyDescent="0.25">
      <c r="A104" s="336" t="s">
        <v>356</v>
      </c>
      <c r="B104" s="341" t="s">
        <v>357</v>
      </c>
      <c r="C104" s="336" t="s">
        <v>282</v>
      </c>
      <c r="D104" s="338">
        <v>9</v>
      </c>
      <c r="E104" s="339"/>
      <c r="F104" s="340"/>
    </row>
    <row r="105" spans="1:6" s="290" customFormat="1" ht="15" x14ac:dyDescent="0.25">
      <c r="A105" s="336" t="s">
        <v>358</v>
      </c>
      <c r="B105" s="341" t="s">
        <v>359</v>
      </c>
      <c r="C105" s="336" t="s">
        <v>282</v>
      </c>
      <c r="D105" s="338">
        <v>99</v>
      </c>
      <c r="E105" s="339"/>
      <c r="F105" s="340"/>
    </row>
    <row r="106" spans="1:6" s="290" customFormat="1" ht="15" x14ac:dyDescent="0.25">
      <c r="A106" s="336" t="s">
        <v>360</v>
      </c>
      <c r="B106" s="341" t="s">
        <v>361</v>
      </c>
      <c r="C106" s="336" t="s">
        <v>282</v>
      </c>
      <c r="D106" s="338">
        <v>9</v>
      </c>
      <c r="E106" s="339"/>
      <c r="F106" s="340"/>
    </row>
    <row r="107" spans="1:6" s="356" customFormat="1" ht="39" x14ac:dyDescent="0.25">
      <c r="A107" s="343" t="s">
        <v>362</v>
      </c>
      <c r="B107" s="337" t="s">
        <v>363</v>
      </c>
      <c r="C107" s="343" t="s">
        <v>9</v>
      </c>
      <c r="D107" s="352"/>
      <c r="E107" s="354"/>
      <c r="F107" s="355"/>
    </row>
    <row r="108" spans="1:6" s="290" customFormat="1" ht="15" x14ac:dyDescent="0.25">
      <c r="A108" s="344" t="s">
        <v>364</v>
      </c>
      <c r="B108" s="345" t="s">
        <v>365</v>
      </c>
      <c r="C108" s="336"/>
      <c r="D108" s="338"/>
      <c r="E108" s="339"/>
      <c r="F108" s="340"/>
    </row>
    <row r="109" spans="1:6" s="290" customFormat="1" ht="26.25" x14ac:dyDescent="0.25">
      <c r="A109" s="336" t="s">
        <v>366</v>
      </c>
      <c r="B109" s="346" t="s">
        <v>367</v>
      </c>
      <c r="C109" s="343" t="s">
        <v>9</v>
      </c>
      <c r="D109" s="338">
        <f>165</f>
        <v>165</v>
      </c>
      <c r="E109" s="339"/>
      <c r="F109" s="340"/>
    </row>
    <row r="110" spans="1:6" s="290" customFormat="1" ht="26.25" x14ac:dyDescent="0.25">
      <c r="A110" s="336" t="s">
        <v>368</v>
      </c>
      <c r="B110" s="346" t="s">
        <v>369</v>
      </c>
      <c r="C110" s="336" t="s">
        <v>282</v>
      </c>
      <c r="D110" s="338">
        <v>1</v>
      </c>
      <c r="E110" s="339"/>
      <c r="F110" s="340"/>
    </row>
    <row r="111" spans="1:6" s="290" customFormat="1" ht="15" x14ac:dyDescent="0.25">
      <c r="A111" s="344" t="s">
        <v>370</v>
      </c>
      <c r="B111" s="345" t="s">
        <v>371</v>
      </c>
      <c r="C111" s="336"/>
      <c r="D111" s="338"/>
      <c r="E111" s="339"/>
      <c r="F111" s="340"/>
    </row>
    <row r="112" spans="1:6" s="290" customFormat="1" ht="26.25" x14ac:dyDescent="0.25">
      <c r="A112" s="336" t="s">
        <v>372</v>
      </c>
      <c r="B112" s="337" t="s">
        <v>399</v>
      </c>
      <c r="C112" s="343" t="s">
        <v>9</v>
      </c>
      <c r="D112" s="338">
        <f>8+38+34</f>
        <v>80</v>
      </c>
      <c r="E112" s="339"/>
      <c r="F112" s="340"/>
    </row>
    <row r="113" spans="1:6" s="290" customFormat="1" ht="15" x14ac:dyDescent="0.25">
      <c r="A113" s="336" t="s">
        <v>373</v>
      </c>
      <c r="B113" s="342" t="s">
        <v>401</v>
      </c>
      <c r="C113" s="343" t="s">
        <v>9</v>
      </c>
      <c r="D113" s="338">
        <v>80</v>
      </c>
      <c r="E113" s="339"/>
      <c r="F113" s="340"/>
    </row>
    <row r="114" spans="1:6" s="290" customFormat="1" ht="15" x14ac:dyDescent="0.25">
      <c r="A114" s="336" t="s">
        <v>374</v>
      </c>
      <c r="B114" s="341" t="s">
        <v>375</v>
      </c>
      <c r="C114" s="336" t="s">
        <v>9</v>
      </c>
      <c r="D114" s="338">
        <v>100</v>
      </c>
      <c r="E114" s="339"/>
      <c r="F114" s="340"/>
    </row>
    <row r="115" spans="1:6" s="290" customFormat="1" ht="26.25" x14ac:dyDescent="0.25">
      <c r="A115" s="336" t="s">
        <v>376</v>
      </c>
      <c r="B115" s="337" t="s">
        <v>400</v>
      </c>
      <c r="C115" s="343" t="s">
        <v>9</v>
      </c>
      <c r="D115" s="338">
        <f>160*2</f>
        <v>320</v>
      </c>
      <c r="E115" s="339"/>
      <c r="F115" s="340"/>
    </row>
    <row r="116" spans="1:6" s="290" customFormat="1" ht="15" x14ac:dyDescent="0.25">
      <c r="A116" s="336" t="s">
        <v>378</v>
      </c>
      <c r="B116" s="337" t="s">
        <v>402</v>
      </c>
      <c r="C116" s="343" t="s">
        <v>9</v>
      </c>
      <c r="D116" s="338">
        <v>40</v>
      </c>
      <c r="E116" s="339"/>
      <c r="F116" s="340"/>
    </row>
    <row r="117" spans="1:6" s="290" customFormat="1" ht="39" x14ac:dyDescent="0.25">
      <c r="A117" s="336" t="s">
        <v>379</v>
      </c>
      <c r="B117" s="346" t="s">
        <v>380</v>
      </c>
      <c r="C117" s="336" t="s">
        <v>38</v>
      </c>
      <c r="D117" s="338">
        <v>48</v>
      </c>
      <c r="E117" s="339"/>
      <c r="F117" s="340"/>
    </row>
    <row r="118" spans="1:6" s="290" customFormat="1" ht="39" x14ac:dyDescent="0.25">
      <c r="A118" s="336" t="s">
        <v>381</v>
      </c>
      <c r="B118" s="346" t="s">
        <v>382</v>
      </c>
      <c r="C118" s="336" t="s">
        <v>38</v>
      </c>
      <c r="D118" s="338">
        <v>4</v>
      </c>
      <c r="E118" s="339"/>
      <c r="F118" s="340"/>
    </row>
    <row r="119" spans="1:6" s="290" customFormat="1" ht="26.25" x14ac:dyDescent="0.25">
      <c r="A119" s="336" t="s">
        <v>383</v>
      </c>
      <c r="B119" s="337" t="s">
        <v>403</v>
      </c>
      <c r="C119" s="336" t="s">
        <v>9</v>
      </c>
      <c r="D119" s="338">
        <v>106</v>
      </c>
      <c r="E119" s="339"/>
      <c r="F119" s="340"/>
    </row>
    <row r="120" spans="1:6" s="290" customFormat="1" ht="51.75" x14ac:dyDescent="0.25">
      <c r="A120" s="336" t="s">
        <v>384</v>
      </c>
      <c r="B120" s="337" t="s">
        <v>405</v>
      </c>
      <c r="C120" s="336" t="s">
        <v>377</v>
      </c>
      <c r="D120" s="338">
        <v>1</v>
      </c>
      <c r="E120" s="339"/>
      <c r="F120" s="340"/>
    </row>
    <row r="121" spans="1:6" s="290" customFormat="1" ht="26.25" x14ac:dyDescent="0.25">
      <c r="A121" s="336" t="s">
        <v>385</v>
      </c>
      <c r="B121" s="337" t="s">
        <v>404</v>
      </c>
      <c r="C121" s="336" t="s">
        <v>377</v>
      </c>
      <c r="D121" s="338">
        <v>1</v>
      </c>
      <c r="E121" s="339"/>
      <c r="F121" s="340"/>
    </row>
    <row r="122" spans="1:6" s="290" customFormat="1" ht="15" x14ac:dyDescent="0.25">
      <c r="A122" s="336" t="s">
        <v>386</v>
      </c>
      <c r="B122" s="341" t="s">
        <v>387</v>
      </c>
      <c r="C122" s="336" t="s">
        <v>9</v>
      </c>
      <c r="D122" s="338">
        <v>212</v>
      </c>
      <c r="E122" s="339"/>
      <c r="F122" s="340"/>
    </row>
    <row r="123" spans="1:6" s="290" customFormat="1" ht="26.25" x14ac:dyDescent="0.25">
      <c r="A123" s="336" t="s">
        <v>388</v>
      </c>
      <c r="B123" s="346" t="s">
        <v>389</v>
      </c>
      <c r="C123" s="336" t="s">
        <v>377</v>
      </c>
      <c r="D123" s="338">
        <v>1</v>
      </c>
      <c r="E123" s="339"/>
      <c r="F123" s="340"/>
    </row>
    <row r="124" spans="1:6" s="290" customFormat="1" ht="26.25" x14ac:dyDescent="0.25">
      <c r="A124" s="336" t="s">
        <v>390</v>
      </c>
      <c r="B124" s="346" t="s">
        <v>391</v>
      </c>
      <c r="C124" s="336" t="s">
        <v>377</v>
      </c>
      <c r="D124" s="338">
        <v>1</v>
      </c>
      <c r="E124" s="339"/>
      <c r="F124" s="340"/>
    </row>
    <row r="125" spans="1:6" s="290" customFormat="1" ht="15" x14ac:dyDescent="0.25">
      <c r="A125" s="336" t="s">
        <v>392</v>
      </c>
      <c r="B125" s="342" t="s">
        <v>406</v>
      </c>
      <c r="C125" s="336" t="s">
        <v>39</v>
      </c>
      <c r="D125" s="338">
        <v>1000</v>
      </c>
      <c r="E125" s="339"/>
      <c r="F125" s="340"/>
    </row>
    <row r="126" spans="1:6" s="290" customFormat="1" ht="15" x14ac:dyDescent="0.25">
      <c r="A126" s="336" t="s">
        <v>393</v>
      </c>
      <c r="B126" s="341" t="s">
        <v>325</v>
      </c>
      <c r="C126" s="336" t="s">
        <v>394</v>
      </c>
      <c r="D126" s="338">
        <v>1</v>
      </c>
      <c r="E126" s="339"/>
      <c r="F126" s="340"/>
    </row>
    <row r="127" spans="1:6" s="290" customFormat="1" ht="15.75" thickBot="1" x14ac:dyDescent="0.3">
      <c r="A127" s="368" t="s">
        <v>395</v>
      </c>
      <c r="B127" s="369" t="s">
        <v>396</v>
      </c>
      <c r="C127" s="368" t="s">
        <v>38</v>
      </c>
      <c r="D127" s="370">
        <v>10</v>
      </c>
      <c r="E127" s="371"/>
      <c r="F127" s="340"/>
    </row>
    <row r="128" spans="1:6" ht="19.5" thickBot="1" x14ac:dyDescent="0.35">
      <c r="A128" s="250" t="s">
        <v>397</v>
      </c>
      <c r="B128" s="251"/>
      <c r="C128" s="251"/>
      <c r="D128" s="251"/>
      <c r="E128" s="252"/>
      <c r="F128" s="182">
        <f>SUM(F9:F127)</f>
        <v>0</v>
      </c>
    </row>
  </sheetData>
  <mergeCells count="6">
    <mergeCell ref="A128:E128"/>
    <mergeCell ref="A3:F3"/>
    <mergeCell ref="A4:F4"/>
    <mergeCell ref="A7:B7"/>
    <mergeCell ref="A45:D45"/>
    <mergeCell ref="B82:D8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75"/>
  <sheetViews>
    <sheetView view="pageBreakPreview" topLeftCell="A19" zoomScale="84" zoomScaleNormal="124" zoomScaleSheetLayoutView="84" workbookViewId="0">
      <selection activeCell="F11" sqref="F11:F73"/>
    </sheetView>
  </sheetViews>
  <sheetFormatPr baseColWidth="10" defaultRowHeight="12.75" x14ac:dyDescent="0.2"/>
  <cols>
    <col min="1" max="1" width="5" style="107" bestFit="1" customWidth="1"/>
    <col min="2" max="2" width="13.5703125" customWidth="1"/>
    <col min="3" max="3" width="75" customWidth="1"/>
    <col min="4" max="4" width="5.42578125" customWidth="1"/>
    <col min="5" max="5" width="8.42578125" customWidth="1"/>
    <col min="6" max="6" width="12.42578125" style="9" customWidth="1"/>
    <col min="7" max="7" width="13" customWidth="1"/>
    <col min="8" max="8" width="20.5703125" style="33" customWidth="1"/>
  </cols>
  <sheetData>
    <row r="2" spans="1:9" ht="26.25" x14ac:dyDescent="0.2">
      <c r="A2" s="136"/>
      <c r="B2" s="142"/>
      <c r="C2" s="142"/>
      <c r="D2" s="142"/>
      <c r="E2" s="142"/>
      <c r="F2" s="143"/>
      <c r="G2" s="144"/>
      <c r="H2" s="144"/>
      <c r="I2" s="145"/>
    </row>
    <row r="3" spans="1:9" ht="23.25" x14ac:dyDescent="0.2">
      <c r="A3" s="136"/>
      <c r="B3" s="142"/>
      <c r="D3" s="142"/>
      <c r="E3" s="142"/>
      <c r="F3" s="143"/>
      <c r="G3" s="144"/>
      <c r="H3" s="144"/>
      <c r="I3" s="146"/>
    </row>
    <row r="4" spans="1:9" ht="23.25" x14ac:dyDescent="0.2">
      <c r="A4" s="136"/>
      <c r="B4" s="137"/>
      <c r="C4" s="137"/>
      <c r="D4" s="137"/>
      <c r="E4" s="137"/>
      <c r="F4" s="138"/>
      <c r="G4" s="147"/>
      <c r="H4" s="147"/>
      <c r="I4" s="146"/>
    </row>
    <row r="5" spans="1:9" ht="15" x14ac:dyDescent="0.2">
      <c r="A5" s="136"/>
      <c r="B5" s="140"/>
      <c r="C5" s="140"/>
      <c r="D5" s="140"/>
      <c r="E5" s="125"/>
      <c r="F5" s="37"/>
      <c r="G5" s="62"/>
      <c r="H5" s="7"/>
      <c r="I5" s="7"/>
    </row>
    <row r="6" spans="1:9" ht="18" x14ac:dyDescent="0.2">
      <c r="A6" s="136"/>
      <c r="B6" s="140"/>
      <c r="C6" s="140"/>
      <c r="D6" s="140"/>
      <c r="E6" s="141"/>
      <c r="F6" s="141"/>
      <c r="G6" s="148"/>
      <c r="H6" s="7"/>
      <c r="I6" s="7"/>
    </row>
    <row r="7" spans="1:9" ht="18" x14ac:dyDescent="0.2">
      <c r="A7" s="136"/>
      <c r="B7" s="140"/>
      <c r="C7" s="140"/>
      <c r="D7" s="140"/>
      <c r="E7" s="141"/>
      <c r="F7" s="141"/>
      <c r="G7" s="148"/>
      <c r="H7" s="7"/>
      <c r="I7" s="7"/>
    </row>
    <row r="8" spans="1:9" ht="9.75" customHeight="1" thickBot="1" x14ac:dyDescent="0.25">
      <c r="A8" s="109"/>
      <c r="B8" s="85"/>
      <c r="C8" s="85"/>
      <c r="D8" s="85"/>
      <c r="E8" s="85"/>
      <c r="F8" s="114"/>
      <c r="G8" s="110"/>
      <c r="H8" s="111"/>
    </row>
    <row r="9" spans="1:9" ht="19.5" thickBot="1" x14ac:dyDescent="0.35">
      <c r="A9" s="275" t="s">
        <v>180</v>
      </c>
      <c r="B9" s="276"/>
      <c r="C9" s="277"/>
      <c r="D9" s="277"/>
      <c r="E9" s="277"/>
      <c r="F9" s="277"/>
      <c r="G9" s="277"/>
      <c r="H9" s="278"/>
    </row>
    <row r="10" spans="1:9" ht="25.5" x14ac:dyDescent="0.2">
      <c r="A10" s="100" t="s">
        <v>54</v>
      </c>
      <c r="B10" s="90" t="s">
        <v>55</v>
      </c>
      <c r="C10" s="93" t="s">
        <v>2</v>
      </c>
      <c r="D10" s="90" t="s">
        <v>3</v>
      </c>
      <c r="E10" s="91" t="s">
        <v>56</v>
      </c>
      <c r="F10" s="92" t="s">
        <v>41</v>
      </c>
      <c r="G10" s="95" t="s">
        <v>40</v>
      </c>
      <c r="H10" s="96" t="s">
        <v>5</v>
      </c>
    </row>
    <row r="11" spans="1:9" x14ac:dyDescent="0.2">
      <c r="A11" s="102">
        <v>1</v>
      </c>
      <c r="B11" s="94"/>
      <c r="C11" s="29" t="s">
        <v>64</v>
      </c>
      <c r="D11" s="17"/>
      <c r="E11" s="17"/>
      <c r="F11" s="115"/>
      <c r="G11" s="17"/>
      <c r="H11" s="34"/>
    </row>
    <row r="12" spans="1:9" s="39" customFormat="1" x14ac:dyDescent="0.2">
      <c r="A12" s="101" t="s">
        <v>8</v>
      </c>
      <c r="B12" s="3" t="s">
        <v>7</v>
      </c>
      <c r="C12" s="17" t="s">
        <v>65</v>
      </c>
      <c r="D12" s="13" t="s">
        <v>66</v>
      </c>
      <c r="E12" s="15">
        <v>1</v>
      </c>
      <c r="F12" s="117"/>
      <c r="G12" s="14"/>
      <c r="H12" s="34">
        <f t="shared" ref="H12:H20" si="0">G12*E12</f>
        <v>0</v>
      </c>
    </row>
    <row r="13" spans="1:9" s="39" customFormat="1" x14ac:dyDescent="0.2">
      <c r="A13" s="101" t="s">
        <v>128</v>
      </c>
      <c r="B13" s="3" t="s">
        <v>7</v>
      </c>
      <c r="C13" s="16" t="s">
        <v>163</v>
      </c>
      <c r="D13" s="13" t="s">
        <v>9</v>
      </c>
      <c r="E13" s="15">
        <v>20</v>
      </c>
      <c r="F13" s="117"/>
      <c r="G13" s="14"/>
      <c r="H13" s="34">
        <f t="shared" si="0"/>
        <v>0</v>
      </c>
    </row>
    <row r="14" spans="1:9" s="39" customFormat="1" x14ac:dyDescent="0.2">
      <c r="A14" s="101" t="s">
        <v>129</v>
      </c>
      <c r="B14" s="3" t="s">
        <v>7</v>
      </c>
      <c r="C14" s="16" t="s">
        <v>164</v>
      </c>
      <c r="D14" s="13" t="s">
        <v>9</v>
      </c>
      <c r="E14" s="15">
        <v>10</v>
      </c>
      <c r="F14" s="117"/>
      <c r="G14" s="14"/>
      <c r="H14" s="34">
        <f t="shared" si="0"/>
        <v>0</v>
      </c>
    </row>
    <row r="15" spans="1:9" s="39" customFormat="1" x14ac:dyDescent="0.2">
      <c r="A15" s="101" t="s">
        <v>130</v>
      </c>
      <c r="B15" s="3" t="s">
        <v>7</v>
      </c>
      <c r="C15" s="18" t="s">
        <v>186</v>
      </c>
      <c r="D15" s="13" t="s">
        <v>9</v>
      </c>
      <c r="E15" s="15">
        <v>295</v>
      </c>
      <c r="F15" s="117"/>
      <c r="G15" s="14"/>
      <c r="H15" s="34">
        <f t="shared" si="0"/>
        <v>0</v>
      </c>
    </row>
    <row r="16" spans="1:9" s="39" customFormat="1" x14ac:dyDescent="0.2">
      <c r="A16" s="101" t="s">
        <v>131</v>
      </c>
      <c r="B16" s="3" t="s">
        <v>7</v>
      </c>
      <c r="C16" s="18" t="s">
        <v>81</v>
      </c>
      <c r="D16" s="13" t="s">
        <v>9</v>
      </c>
      <c r="E16" s="15">
        <v>151</v>
      </c>
      <c r="F16" s="117"/>
      <c r="G16" s="14"/>
      <c r="H16" s="34">
        <f t="shared" si="0"/>
        <v>0</v>
      </c>
    </row>
    <row r="17" spans="1:8" s="39" customFormat="1" x14ac:dyDescent="0.2">
      <c r="A17" s="101" t="s">
        <v>132</v>
      </c>
      <c r="B17" s="3" t="s">
        <v>7</v>
      </c>
      <c r="C17" s="17" t="s">
        <v>82</v>
      </c>
      <c r="D17" s="13" t="s">
        <v>63</v>
      </c>
      <c r="E17" s="15">
        <v>20</v>
      </c>
      <c r="F17" s="117"/>
      <c r="G17" s="14"/>
      <c r="H17" s="34">
        <f t="shared" si="0"/>
        <v>0</v>
      </c>
    </row>
    <row r="18" spans="1:8" s="39" customFormat="1" x14ac:dyDescent="0.2">
      <c r="A18" s="101" t="s">
        <v>23</v>
      </c>
      <c r="B18" s="3" t="s">
        <v>7</v>
      </c>
      <c r="C18" s="17" t="s">
        <v>83</v>
      </c>
      <c r="D18" s="13" t="s">
        <v>63</v>
      </c>
      <c r="E18" s="15">
        <v>1</v>
      </c>
      <c r="F18" s="117"/>
      <c r="G18" s="14"/>
      <c r="H18" s="34">
        <f t="shared" si="0"/>
        <v>0</v>
      </c>
    </row>
    <row r="19" spans="1:8" s="39" customFormat="1" ht="15" x14ac:dyDescent="0.25">
      <c r="A19" s="101" t="s">
        <v>24</v>
      </c>
      <c r="B19" s="3" t="s">
        <v>7</v>
      </c>
      <c r="C19" s="20" t="s">
        <v>84</v>
      </c>
      <c r="D19" s="19" t="s">
        <v>9</v>
      </c>
      <c r="E19" s="21">
        <v>2</v>
      </c>
      <c r="F19" s="117"/>
      <c r="G19" s="14"/>
      <c r="H19" s="112">
        <f t="shared" si="0"/>
        <v>0</v>
      </c>
    </row>
    <row r="20" spans="1:8" s="39" customFormat="1" ht="15" x14ac:dyDescent="0.25">
      <c r="A20" s="101" t="s">
        <v>133</v>
      </c>
      <c r="B20" s="3" t="s">
        <v>7</v>
      </c>
      <c r="C20" s="20" t="s">
        <v>85</v>
      </c>
      <c r="D20" s="19" t="s">
        <v>38</v>
      </c>
      <c r="E20" s="21">
        <v>2</v>
      </c>
      <c r="F20" s="117"/>
      <c r="G20" s="14"/>
      <c r="H20" s="112">
        <f t="shared" si="0"/>
        <v>0</v>
      </c>
    </row>
    <row r="21" spans="1:8" x14ac:dyDescent="0.2">
      <c r="A21" s="102">
        <v>2</v>
      </c>
      <c r="B21" s="94"/>
      <c r="C21" s="29" t="s">
        <v>86</v>
      </c>
      <c r="D21" s="13"/>
      <c r="E21" s="15"/>
      <c r="F21" s="117"/>
      <c r="G21" s="14"/>
      <c r="H21" s="34"/>
    </row>
    <row r="22" spans="1:8" x14ac:dyDescent="0.2">
      <c r="A22" s="101" t="s">
        <v>134</v>
      </c>
      <c r="B22" s="51" t="s">
        <v>12</v>
      </c>
      <c r="C22" s="17" t="s">
        <v>178</v>
      </c>
      <c r="D22" s="13" t="s">
        <v>9</v>
      </c>
      <c r="E22" s="15">
        <v>8</v>
      </c>
      <c r="F22" s="117"/>
      <c r="G22" s="14"/>
      <c r="H22" s="34">
        <f>G22*E22</f>
        <v>0</v>
      </c>
    </row>
    <row r="23" spans="1:8" x14ac:dyDescent="0.2">
      <c r="A23" s="102">
        <v>3</v>
      </c>
      <c r="B23" s="94"/>
      <c r="C23" s="29" t="s">
        <v>87</v>
      </c>
      <c r="D23" s="13"/>
      <c r="E23" s="15"/>
      <c r="F23" s="117"/>
      <c r="G23" s="14"/>
      <c r="H23" s="34"/>
    </row>
    <row r="24" spans="1:8" x14ac:dyDescent="0.2">
      <c r="A24" s="101" t="s">
        <v>136</v>
      </c>
      <c r="B24" s="51" t="s">
        <v>169</v>
      </c>
      <c r="C24" s="17" t="s">
        <v>88</v>
      </c>
      <c r="D24" s="13" t="s">
        <v>9</v>
      </c>
      <c r="E24" s="15">
        <v>60</v>
      </c>
      <c r="F24" s="117"/>
      <c r="G24" s="14"/>
      <c r="H24" s="34">
        <f>G24*E24</f>
        <v>0</v>
      </c>
    </row>
    <row r="25" spans="1:8" x14ac:dyDescent="0.2">
      <c r="A25" s="101" t="s">
        <v>137</v>
      </c>
      <c r="B25" s="51" t="s">
        <v>169</v>
      </c>
      <c r="C25" s="17" t="s">
        <v>67</v>
      </c>
      <c r="D25" s="13" t="s">
        <v>9</v>
      </c>
      <c r="E25" s="15">
        <v>48</v>
      </c>
      <c r="F25" s="117"/>
      <c r="G25" s="14"/>
      <c r="H25" s="34">
        <f>G25*E25</f>
        <v>0</v>
      </c>
    </row>
    <row r="26" spans="1:8" x14ac:dyDescent="0.2">
      <c r="A26" s="101" t="s">
        <v>171</v>
      </c>
      <c r="B26" s="51" t="s">
        <v>169</v>
      </c>
      <c r="C26" s="17" t="s">
        <v>89</v>
      </c>
      <c r="D26" s="13" t="s">
        <v>9</v>
      </c>
      <c r="E26" s="15">
        <v>70</v>
      </c>
      <c r="F26" s="117"/>
      <c r="G26" s="14"/>
      <c r="H26" s="34">
        <f>G26*E26</f>
        <v>0</v>
      </c>
    </row>
    <row r="27" spans="1:8" x14ac:dyDescent="0.2">
      <c r="A27" s="102">
        <v>4</v>
      </c>
      <c r="B27" s="94"/>
      <c r="C27" s="29" t="s">
        <v>68</v>
      </c>
      <c r="D27" s="13"/>
      <c r="E27" s="15"/>
      <c r="F27" s="117"/>
      <c r="G27" s="14"/>
      <c r="H27" s="34"/>
    </row>
    <row r="28" spans="1:8" x14ac:dyDescent="0.2">
      <c r="A28" s="101" t="s">
        <v>138</v>
      </c>
      <c r="B28" s="51" t="s">
        <v>10</v>
      </c>
      <c r="C28" s="18" t="s">
        <v>183</v>
      </c>
      <c r="D28" s="13" t="s">
        <v>9</v>
      </c>
      <c r="E28" s="15">
        <v>295</v>
      </c>
      <c r="F28" s="117"/>
      <c r="G28" s="14"/>
      <c r="H28" s="34">
        <f>G28*E28</f>
        <v>0</v>
      </c>
    </row>
    <row r="29" spans="1:8" x14ac:dyDescent="0.2">
      <c r="A29" s="101" t="s">
        <v>139</v>
      </c>
      <c r="B29" s="51" t="s">
        <v>27</v>
      </c>
      <c r="C29" s="17" t="s">
        <v>90</v>
      </c>
      <c r="D29" s="13" t="s">
        <v>39</v>
      </c>
      <c r="E29" s="15">
        <v>110</v>
      </c>
      <c r="F29" s="117"/>
      <c r="G29" s="14"/>
      <c r="H29" s="34">
        <f>G29*E29</f>
        <v>0</v>
      </c>
    </row>
    <row r="30" spans="1:8" x14ac:dyDescent="0.2">
      <c r="A30" s="101" t="s">
        <v>140</v>
      </c>
      <c r="B30" s="51" t="s">
        <v>10</v>
      </c>
      <c r="C30" s="17" t="s">
        <v>182</v>
      </c>
      <c r="D30" s="13" t="s">
        <v>38</v>
      </c>
      <c r="E30" s="15">
        <v>40</v>
      </c>
      <c r="F30" s="117"/>
      <c r="G30" s="14"/>
      <c r="H30" s="34">
        <f>G30*E30</f>
        <v>0</v>
      </c>
    </row>
    <row r="31" spans="1:8" x14ac:dyDescent="0.2">
      <c r="A31" s="101" t="s">
        <v>141</v>
      </c>
      <c r="B31" s="51" t="s">
        <v>10</v>
      </c>
      <c r="C31" s="18" t="s">
        <v>181</v>
      </c>
      <c r="D31" s="13" t="s">
        <v>9</v>
      </c>
      <c r="E31" s="15">
        <f>E28</f>
        <v>295</v>
      </c>
      <c r="F31" s="117"/>
      <c r="G31" s="14"/>
      <c r="H31" s="34">
        <f>G31*E31</f>
        <v>0</v>
      </c>
    </row>
    <row r="32" spans="1:8" x14ac:dyDescent="0.2">
      <c r="A32" s="102">
        <v>5</v>
      </c>
      <c r="B32" s="94"/>
      <c r="C32" s="29" t="s">
        <v>69</v>
      </c>
      <c r="D32" s="13"/>
      <c r="E32" s="15"/>
      <c r="F32" s="117"/>
      <c r="G32" s="14"/>
      <c r="H32" s="34"/>
    </row>
    <row r="33" spans="1:9" ht="25.5" x14ac:dyDescent="0.2">
      <c r="A33" s="101" t="s">
        <v>142</v>
      </c>
      <c r="B33" s="126" t="s">
        <v>11</v>
      </c>
      <c r="C33" s="18" t="s">
        <v>91</v>
      </c>
      <c r="D33" s="13" t="s">
        <v>63</v>
      </c>
      <c r="E33" s="15">
        <v>2</v>
      </c>
      <c r="F33" s="117"/>
      <c r="G33" s="14"/>
      <c r="H33" s="34">
        <f>G33*E33</f>
        <v>0</v>
      </c>
    </row>
    <row r="34" spans="1:9" x14ac:dyDescent="0.2">
      <c r="A34" s="101" t="s">
        <v>143</v>
      </c>
      <c r="B34" s="126" t="s">
        <v>11</v>
      </c>
      <c r="C34" s="17" t="s">
        <v>92</v>
      </c>
      <c r="D34" s="13" t="s">
        <v>70</v>
      </c>
      <c r="E34" s="15">
        <v>1</v>
      </c>
      <c r="F34" s="117"/>
      <c r="G34" s="14"/>
      <c r="H34" s="34">
        <f>G34*E34</f>
        <v>0</v>
      </c>
    </row>
    <row r="35" spans="1:9" x14ac:dyDescent="0.2">
      <c r="A35" s="101" t="s">
        <v>144</v>
      </c>
      <c r="B35" s="126" t="s">
        <v>11</v>
      </c>
      <c r="C35" s="17" t="s">
        <v>93</v>
      </c>
      <c r="D35" s="13" t="s">
        <v>39</v>
      </c>
      <c r="E35" s="15">
        <v>10</v>
      </c>
      <c r="F35" s="117"/>
      <c r="G35" s="14"/>
      <c r="H35" s="34">
        <f>G35*E35</f>
        <v>0</v>
      </c>
    </row>
    <row r="36" spans="1:9" x14ac:dyDescent="0.2">
      <c r="A36" s="102">
        <v>6</v>
      </c>
      <c r="B36" s="94"/>
      <c r="C36" s="29" t="s">
        <v>94</v>
      </c>
      <c r="D36" s="13"/>
      <c r="E36" s="15"/>
      <c r="F36" s="117"/>
      <c r="G36" s="14"/>
      <c r="H36" s="34"/>
    </row>
    <row r="37" spans="1:9" x14ac:dyDescent="0.2">
      <c r="A37" s="101" t="s">
        <v>145</v>
      </c>
      <c r="B37" s="126" t="s">
        <v>11</v>
      </c>
      <c r="C37" s="17" t="s">
        <v>95</v>
      </c>
      <c r="D37" s="13" t="s">
        <v>9</v>
      </c>
      <c r="E37" s="15">
        <v>23</v>
      </c>
      <c r="F37" s="117"/>
      <c r="G37" s="14"/>
      <c r="H37" s="34">
        <f>G37*E37</f>
        <v>0</v>
      </c>
    </row>
    <row r="38" spans="1:9" x14ac:dyDescent="0.2">
      <c r="A38" s="101" t="s">
        <v>146</v>
      </c>
      <c r="B38" s="51" t="s">
        <v>12</v>
      </c>
      <c r="C38" s="17" t="s">
        <v>96</v>
      </c>
      <c r="D38" s="13" t="s">
        <v>9</v>
      </c>
      <c r="E38" s="15">
        <v>40</v>
      </c>
      <c r="F38" s="117"/>
      <c r="G38" s="14"/>
      <c r="H38" s="34">
        <f>G38*E38</f>
        <v>0</v>
      </c>
    </row>
    <row r="39" spans="1:9" x14ac:dyDescent="0.2">
      <c r="A39" s="102">
        <v>7</v>
      </c>
      <c r="B39" s="94"/>
      <c r="C39" s="29" t="s">
        <v>14</v>
      </c>
      <c r="D39" s="13"/>
      <c r="E39" s="15"/>
      <c r="F39" s="117"/>
      <c r="G39" s="14"/>
      <c r="H39" s="34"/>
    </row>
    <row r="40" spans="1:9" ht="15" x14ac:dyDescent="0.2">
      <c r="A40" s="108" t="s">
        <v>147</v>
      </c>
      <c r="B40" s="3" t="s">
        <v>33</v>
      </c>
      <c r="C40" s="17" t="s">
        <v>97</v>
      </c>
      <c r="D40" s="13" t="s">
        <v>9</v>
      </c>
      <c r="E40" s="15">
        <f>E24+E25+E26</f>
        <v>178</v>
      </c>
      <c r="F40" s="117"/>
      <c r="G40" s="14"/>
      <c r="H40" s="34">
        <f t="shared" ref="H40:H47" si="1">G40*E40</f>
        <v>0</v>
      </c>
    </row>
    <row r="41" spans="1:9" ht="15" x14ac:dyDescent="0.2">
      <c r="A41" s="108" t="s">
        <v>148</v>
      </c>
      <c r="B41" s="3" t="s">
        <v>33</v>
      </c>
      <c r="C41" s="17" t="s">
        <v>98</v>
      </c>
      <c r="D41" s="13" t="s">
        <v>9</v>
      </c>
      <c r="E41" s="15">
        <v>453</v>
      </c>
      <c r="F41" s="117"/>
      <c r="G41" s="14"/>
      <c r="H41" s="34">
        <f t="shared" si="1"/>
        <v>0</v>
      </c>
      <c r="I41" s="28"/>
    </row>
    <row r="42" spans="1:9" ht="15" x14ac:dyDescent="0.2">
      <c r="A42" s="108" t="s">
        <v>149</v>
      </c>
      <c r="B42" s="3" t="s">
        <v>33</v>
      </c>
      <c r="C42" s="17" t="s">
        <v>184</v>
      </c>
      <c r="D42" s="13" t="s">
        <v>9</v>
      </c>
      <c r="E42" s="15">
        <v>295</v>
      </c>
      <c r="F42" s="117"/>
      <c r="G42" s="14"/>
      <c r="H42" s="34">
        <f t="shared" si="1"/>
        <v>0</v>
      </c>
    </row>
    <row r="43" spans="1:9" ht="15" x14ac:dyDescent="0.2">
      <c r="A43" s="108" t="s">
        <v>150</v>
      </c>
      <c r="B43" s="3" t="s">
        <v>33</v>
      </c>
      <c r="C43" s="17" t="s">
        <v>99</v>
      </c>
      <c r="D43" s="13" t="s">
        <v>9</v>
      </c>
      <c r="E43" s="15">
        <v>8</v>
      </c>
      <c r="F43" s="117"/>
      <c r="G43" s="14"/>
      <c r="H43" s="34">
        <f t="shared" si="1"/>
        <v>0</v>
      </c>
    </row>
    <row r="44" spans="1:9" ht="15" x14ac:dyDescent="0.2">
      <c r="A44" s="108" t="s">
        <v>151</v>
      </c>
      <c r="B44" s="3" t="s">
        <v>33</v>
      </c>
      <c r="C44" s="17" t="s">
        <v>100</v>
      </c>
      <c r="D44" s="13" t="s">
        <v>9</v>
      </c>
      <c r="E44" s="15">
        <v>8</v>
      </c>
      <c r="F44" s="117"/>
      <c r="G44" s="14"/>
      <c r="H44" s="34">
        <f t="shared" si="1"/>
        <v>0</v>
      </c>
    </row>
    <row r="45" spans="1:9" ht="15" x14ac:dyDescent="0.2">
      <c r="A45" s="108" t="s">
        <v>152</v>
      </c>
      <c r="B45" s="3" t="s">
        <v>33</v>
      </c>
      <c r="C45" s="17" t="s">
        <v>101</v>
      </c>
      <c r="D45" s="13" t="s">
        <v>9</v>
      </c>
      <c r="E45" s="15">
        <v>16</v>
      </c>
      <c r="F45" s="117"/>
      <c r="G45" s="14"/>
      <c r="H45" s="34">
        <f t="shared" si="1"/>
        <v>0</v>
      </c>
    </row>
    <row r="46" spans="1:9" ht="15" x14ac:dyDescent="0.2">
      <c r="A46" s="108" t="s">
        <v>172</v>
      </c>
      <c r="B46" s="3" t="s">
        <v>33</v>
      </c>
      <c r="C46" s="17" t="s">
        <v>102</v>
      </c>
      <c r="D46" s="13" t="s">
        <v>9</v>
      </c>
      <c r="E46" s="15">
        <f>110*4.5</f>
        <v>495</v>
      </c>
      <c r="F46" s="117"/>
      <c r="G46" s="14"/>
      <c r="H46" s="34">
        <f t="shared" si="1"/>
        <v>0</v>
      </c>
    </row>
    <row r="47" spans="1:9" ht="15" x14ac:dyDescent="0.2">
      <c r="A47" s="108" t="s">
        <v>173</v>
      </c>
      <c r="B47" s="3" t="s">
        <v>33</v>
      </c>
      <c r="C47" s="17" t="s">
        <v>103</v>
      </c>
      <c r="D47" s="13" t="s">
        <v>9</v>
      </c>
      <c r="E47" s="15">
        <f>E38*2</f>
        <v>80</v>
      </c>
      <c r="F47" s="117"/>
      <c r="G47" s="14"/>
      <c r="H47" s="34">
        <f t="shared" si="1"/>
        <v>0</v>
      </c>
    </row>
    <row r="48" spans="1:9" x14ac:dyDescent="0.2">
      <c r="A48" s="102">
        <v>8</v>
      </c>
      <c r="B48" s="94"/>
      <c r="C48" s="29" t="s">
        <v>104</v>
      </c>
      <c r="D48" s="13"/>
      <c r="E48" s="15"/>
      <c r="F48" s="117"/>
      <c r="G48" s="14"/>
      <c r="H48" s="34"/>
    </row>
    <row r="49" spans="1:8" ht="15" x14ac:dyDescent="0.2">
      <c r="A49" s="108" t="s">
        <v>126</v>
      </c>
      <c r="B49" s="53" t="s">
        <v>15</v>
      </c>
      <c r="C49" s="17" t="s">
        <v>105</v>
      </c>
      <c r="D49" s="13" t="s">
        <v>71</v>
      </c>
      <c r="E49" s="15">
        <v>2</v>
      </c>
      <c r="F49" s="373"/>
      <c r="G49" s="14"/>
      <c r="H49" s="34">
        <f>G49*E49</f>
        <v>0</v>
      </c>
    </row>
    <row r="50" spans="1:8" ht="15" x14ac:dyDescent="0.2">
      <c r="A50" s="108" t="s">
        <v>127</v>
      </c>
      <c r="B50" s="53" t="s">
        <v>15</v>
      </c>
      <c r="C50" s="17" t="s">
        <v>106</v>
      </c>
      <c r="D50" s="13" t="s">
        <v>39</v>
      </c>
      <c r="E50" s="15">
        <v>9</v>
      </c>
      <c r="F50" s="373"/>
      <c r="G50" s="14"/>
      <c r="H50" s="34">
        <f>G50*E50</f>
        <v>0</v>
      </c>
    </row>
    <row r="51" spans="1:8" x14ac:dyDescent="0.2">
      <c r="A51" s="102">
        <v>9</v>
      </c>
      <c r="B51" s="94"/>
      <c r="C51" s="29" t="s">
        <v>72</v>
      </c>
      <c r="D51" s="13"/>
      <c r="E51" s="15"/>
      <c r="F51" s="373"/>
      <c r="G51" s="14"/>
      <c r="H51" s="34"/>
    </row>
    <row r="52" spans="1:8" ht="15" x14ac:dyDescent="0.2">
      <c r="A52" s="108" t="s">
        <v>153</v>
      </c>
      <c r="B52" s="51" t="s">
        <v>166</v>
      </c>
      <c r="C52" s="17" t="s">
        <v>107</v>
      </c>
      <c r="D52" s="13" t="s">
        <v>63</v>
      </c>
      <c r="E52" s="15">
        <v>2</v>
      </c>
      <c r="F52" s="373"/>
      <c r="G52" s="14"/>
      <c r="H52" s="34">
        <f>G52*E52</f>
        <v>0</v>
      </c>
    </row>
    <row r="53" spans="1:8" ht="15" x14ac:dyDescent="0.2">
      <c r="A53" s="108" t="s">
        <v>154</v>
      </c>
      <c r="B53" s="51" t="s">
        <v>166</v>
      </c>
      <c r="C53" s="17" t="s">
        <v>108</v>
      </c>
      <c r="D53" s="13" t="s">
        <v>63</v>
      </c>
      <c r="E53" s="15">
        <v>1</v>
      </c>
      <c r="F53" s="373"/>
      <c r="G53" s="14"/>
      <c r="H53" s="34">
        <f>G53*E53</f>
        <v>0</v>
      </c>
    </row>
    <row r="54" spans="1:8" ht="15" x14ac:dyDescent="0.2">
      <c r="A54" s="108" t="s">
        <v>155</v>
      </c>
      <c r="B54" s="51" t="s">
        <v>166</v>
      </c>
      <c r="C54" s="17" t="s">
        <v>109</v>
      </c>
      <c r="D54" s="13" t="s">
        <v>39</v>
      </c>
      <c r="E54" s="15">
        <v>18</v>
      </c>
      <c r="F54" s="373"/>
      <c r="G54" s="14"/>
      <c r="H54" s="34">
        <f>G54*E54</f>
        <v>0</v>
      </c>
    </row>
    <row r="55" spans="1:8" x14ac:dyDescent="0.2">
      <c r="A55" s="102">
        <v>10</v>
      </c>
      <c r="B55" s="94"/>
      <c r="C55" s="29" t="s">
        <v>110</v>
      </c>
      <c r="D55" s="13"/>
      <c r="E55" s="15"/>
      <c r="F55" s="373"/>
      <c r="G55" s="14"/>
      <c r="H55" s="34"/>
    </row>
    <row r="56" spans="1:8" ht="15" x14ac:dyDescent="0.2">
      <c r="A56" s="103" t="s">
        <v>57</v>
      </c>
      <c r="B56" s="66" t="s">
        <v>29</v>
      </c>
      <c r="C56" s="20" t="s">
        <v>73</v>
      </c>
      <c r="D56" s="22" t="s">
        <v>63</v>
      </c>
      <c r="E56" s="23">
        <v>3</v>
      </c>
      <c r="F56" s="373"/>
      <c r="G56" s="14"/>
      <c r="H56" s="35">
        <f t="shared" ref="H56:H66" si="2">G56*E56</f>
        <v>0</v>
      </c>
    </row>
    <row r="57" spans="1:8" ht="15" x14ac:dyDescent="0.2">
      <c r="A57" s="103" t="s">
        <v>156</v>
      </c>
      <c r="B57" s="66" t="s">
        <v>29</v>
      </c>
      <c r="C57" s="20" t="s">
        <v>74</v>
      </c>
      <c r="D57" s="22" t="s">
        <v>75</v>
      </c>
      <c r="E57" s="23">
        <v>2</v>
      </c>
      <c r="F57" s="373"/>
      <c r="G57" s="14"/>
      <c r="H57" s="35">
        <f t="shared" si="2"/>
        <v>0</v>
      </c>
    </row>
    <row r="58" spans="1:8" ht="15" x14ac:dyDescent="0.2">
      <c r="A58" s="103" t="s">
        <v>58</v>
      </c>
      <c r="B58" s="66" t="s">
        <v>29</v>
      </c>
      <c r="C58" s="20" t="s">
        <v>76</v>
      </c>
      <c r="D58" s="22" t="s">
        <v>63</v>
      </c>
      <c r="E58" s="23">
        <v>8</v>
      </c>
      <c r="F58" s="373"/>
      <c r="G58" s="14"/>
      <c r="H58" s="35">
        <f t="shared" si="2"/>
        <v>0</v>
      </c>
    </row>
    <row r="59" spans="1:8" ht="15" x14ac:dyDescent="0.2">
      <c r="A59" s="103" t="s">
        <v>157</v>
      </c>
      <c r="B59" s="66" t="s">
        <v>29</v>
      </c>
      <c r="C59" s="20" t="s">
        <v>111</v>
      </c>
      <c r="D59" s="22" t="s">
        <v>63</v>
      </c>
      <c r="E59" s="23">
        <v>2</v>
      </c>
      <c r="F59" s="373"/>
      <c r="G59" s="14"/>
      <c r="H59" s="35">
        <f t="shared" si="2"/>
        <v>0</v>
      </c>
    </row>
    <row r="60" spans="1:8" ht="15" x14ac:dyDescent="0.2">
      <c r="A60" s="103" t="s">
        <v>59</v>
      </c>
      <c r="B60" s="66" t="s">
        <v>29</v>
      </c>
      <c r="C60" s="20" t="s">
        <v>77</v>
      </c>
      <c r="D60" s="22" t="s">
        <v>70</v>
      </c>
      <c r="E60" s="23">
        <v>3</v>
      </c>
      <c r="F60" s="373"/>
      <c r="G60" s="14"/>
      <c r="H60" s="35">
        <f t="shared" si="2"/>
        <v>0</v>
      </c>
    </row>
    <row r="61" spans="1:8" ht="15" x14ac:dyDescent="0.2">
      <c r="A61" s="103" t="s">
        <v>158</v>
      </c>
      <c r="B61" s="66" t="s">
        <v>29</v>
      </c>
      <c r="C61" s="20" t="s">
        <v>78</v>
      </c>
      <c r="D61" s="22" t="s">
        <v>63</v>
      </c>
      <c r="E61" s="23">
        <v>2</v>
      </c>
      <c r="F61" s="373"/>
      <c r="G61" s="14"/>
      <c r="H61" s="35">
        <f t="shared" si="2"/>
        <v>0</v>
      </c>
    </row>
    <row r="62" spans="1:8" ht="15" x14ac:dyDescent="0.2">
      <c r="A62" s="103" t="s">
        <v>159</v>
      </c>
      <c r="B62" s="66" t="s">
        <v>29</v>
      </c>
      <c r="C62" s="20" t="s">
        <v>112</v>
      </c>
      <c r="D62" s="22" t="s">
        <v>63</v>
      </c>
      <c r="E62" s="23">
        <v>40</v>
      </c>
      <c r="F62" s="373"/>
      <c r="G62" s="14"/>
      <c r="H62" s="35">
        <f t="shared" si="2"/>
        <v>0</v>
      </c>
    </row>
    <row r="63" spans="1:8" ht="15" x14ac:dyDescent="0.2">
      <c r="A63" s="103" t="s">
        <v>160</v>
      </c>
      <c r="B63" s="66" t="s">
        <v>29</v>
      </c>
      <c r="C63" s="24" t="s">
        <v>113</v>
      </c>
      <c r="D63" s="22" t="s">
        <v>70</v>
      </c>
      <c r="E63" s="23">
        <v>3</v>
      </c>
      <c r="F63" s="373"/>
      <c r="G63" s="14"/>
      <c r="H63" s="35">
        <f t="shared" si="2"/>
        <v>0</v>
      </c>
    </row>
    <row r="64" spans="1:8" ht="25.5" x14ac:dyDescent="0.2">
      <c r="A64" s="103" t="s">
        <v>174</v>
      </c>
      <c r="B64" s="66" t="s">
        <v>29</v>
      </c>
      <c r="C64" s="24" t="s">
        <v>114</v>
      </c>
      <c r="D64" s="22" t="s">
        <v>70</v>
      </c>
      <c r="E64" s="23">
        <v>5</v>
      </c>
      <c r="F64" s="117"/>
      <c r="G64" s="14"/>
      <c r="H64" s="35">
        <f t="shared" si="2"/>
        <v>0</v>
      </c>
    </row>
    <row r="65" spans="1:8" ht="15" x14ac:dyDescent="0.2">
      <c r="A65" s="103" t="s">
        <v>175</v>
      </c>
      <c r="B65" s="66" t="s">
        <v>29</v>
      </c>
      <c r="C65" s="24" t="s">
        <v>115</v>
      </c>
      <c r="D65" s="22" t="s">
        <v>70</v>
      </c>
      <c r="E65" s="23">
        <v>1</v>
      </c>
      <c r="F65" s="117"/>
      <c r="G65" s="14"/>
      <c r="H65" s="35">
        <f t="shared" si="2"/>
        <v>0</v>
      </c>
    </row>
    <row r="66" spans="1:8" ht="15" x14ac:dyDescent="0.2">
      <c r="A66" s="103" t="s">
        <v>176</v>
      </c>
      <c r="B66" s="66" t="s">
        <v>29</v>
      </c>
      <c r="C66" s="24" t="s">
        <v>116</v>
      </c>
      <c r="D66" s="22" t="s">
        <v>39</v>
      </c>
      <c r="E66" s="23">
        <v>120</v>
      </c>
      <c r="F66" s="117"/>
      <c r="G66" s="14"/>
      <c r="H66" s="35">
        <f t="shared" si="2"/>
        <v>0</v>
      </c>
    </row>
    <row r="67" spans="1:8" ht="15" x14ac:dyDescent="0.25">
      <c r="A67" s="104">
        <v>11</v>
      </c>
      <c r="B67" s="97"/>
      <c r="C67" s="29" t="s">
        <v>79</v>
      </c>
      <c r="D67" s="98"/>
      <c r="E67" s="26"/>
      <c r="F67" s="117"/>
      <c r="G67" s="14"/>
      <c r="H67" s="112"/>
    </row>
    <row r="68" spans="1:8" ht="15" x14ac:dyDescent="0.2">
      <c r="A68" s="103" t="s">
        <v>60</v>
      </c>
      <c r="B68" s="126" t="s">
        <v>168</v>
      </c>
      <c r="C68" s="20" t="s">
        <v>117</v>
      </c>
      <c r="D68" s="22" t="s">
        <v>63</v>
      </c>
      <c r="E68" s="23">
        <v>2</v>
      </c>
      <c r="F68" s="117"/>
      <c r="G68" s="14"/>
      <c r="H68" s="35">
        <f>G68*E68</f>
        <v>0</v>
      </c>
    </row>
    <row r="69" spans="1:8" ht="15" x14ac:dyDescent="0.2">
      <c r="A69" s="103" t="s">
        <v>61</v>
      </c>
      <c r="B69" s="126" t="s">
        <v>168</v>
      </c>
      <c r="C69" s="20" t="s">
        <v>118</v>
      </c>
      <c r="D69" s="22" t="s">
        <v>63</v>
      </c>
      <c r="E69" s="23">
        <v>1</v>
      </c>
      <c r="F69" s="117"/>
      <c r="G69" s="14"/>
      <c r="H69" s="35">
        <f>G69*E69</f>
        <v>0</v>
      </c>
    </row>
    <row r="70" spans="1:8" ht="15" x14ac:dyDescent="0.2">
      <c r="A70" s="103" t="s">
        <v>62</v>
      </c>
      <c r="B70" s="126" t="s">
        <v>168</v>
      </c>
      <c r="C70" s="20" t="s">
        <v>119</v>
      </c>
      <c r="D70" s="22" t="s">
        <v>63</v>
      </c>
      <c r="E70" s="23">
        <v>1</v>
      </c>
      <c r="F70" s="117"/>
      <c r="G70" s="14"/>
      <c r="H70" s="35">
        <f>G70*E70</f>
        <v>0</v>
      </c>
    </row>
    <row r="71" spans="1:8" ht="15" x14ac:dyDescent="0.25">
      <c r="A71" s="105">
        <v>12</v>
      </c>
      <c r="B71" s="99"/>
      <c r="C71" s="25" t="s">
        <v>80</v>
      </c>
      <c r="D71" s="98"/>
      <c r="E71" s="26"/>
      <c r="F71" s="117"/>
      <c r="G71" s="14"/>
      <c r="H71" s="112"/>
    </row>
    <row r="72" spans="1:8" ht="15" x14ac:dyDescent="0.2">
      <c r="A72" s="108" t="s">
        <v>161</v>
      </c>
      <c r="B72" s="126" t="s">
        <v>170</v>
      </c>
      <c r="C72" s="20" t="s">
        <v>120</v>
      </c>
      <c r="D72" s="22" t="s">
        <v>66</v>
      </c>
      <c r="E72" s="23">
        <v>3</v>
      </c>
      <c r="F72" s="373"/>
      <c r="G72" s="14"/>
      <c r="H72" s="35">
        <f>G72*E72</f>
        <v>0</v>
      </c>
    </row>
    <row r="73" spans="1:8" ht="15" x14ac:dyDescent="0.2">
      <c r="A73" s="108" t="s">
        <v>162</v>
      </c>
      <c r="B73" s="51" t="s">
        <v>167</v>
      </c>
      <c r="C73" s="20" t="s">
        <v>185</v>
      </c>
      <c r="D73" s="22" t="s">
        <v>9</v>
      </c>
      <c r="E73" s="23">
        <v>400</v>
      </c>
      <c r="F73" s="117"/>
      <c r="G73" s="14"/>
      <c r="H73" s="35">
        <f>G73*E73</f>
        <v>0</v>
      </c>
    </row>
    <row r="74" spans="1:8" ht="15" customHeight="1" x14ac:dyDescent="0.25">
      <c r="A74" s="274" t="s">
        <v>125</v>
      </c>
      <c r="B74" s="274"/>
      <c r="C74" s="274"/>
      <c r="D74" s="274"/>
      <c r="E74" s="274"/>
      <c r="F74" s="274"/>
      <c r="G74" s="274"/>
      <c r="H74" s="113">
        <f>SUM(H11:H73)</f>
        <v>0</v>
      </c>
    </row>
    <row r="75" spans="1:8" ht="15" x14ac:dyDescent="0.25">
      <c r="A75" s="106"/>
      <c r="B75" s="27"/>
      <c r="C75" s="27"/>
      <c r="D75" s="27"/>
      <c r="E75" s="27"/>
      <c r="F75" s="116"/>
      <c r="G75" s="27"/>
      <c r="H75" s="36"/>
    </row>
  </sheetData>
  <mergeCells count="2">
    <mergeCell ref="A74:G74"/>
    <mergeCell ref="A9:H9"/>
  </mergeCells>
  <printOptions horizontalCentered="1"/>
  <pageMargins left="0.70866141732283472" right="0.70866141732283472" top="0.74803149606299213" bottom="0.74803149606299213" header="0.31496062992125984" footer="0.31496062992125984"/>
  <pageSetup paperSize="9" scale="5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TECHO EX URGEN.</vt:lpstr>
      <vt:lpstr>Ex Urgencia</vt:lpstr>
      <vt:lpstr>sexto piso</vt:lpstr>
      <vt:lpstr>tRAUMATOLOGÍA</vt:lpstr>
      <vt:lpstr>aLBERGUE</vt:lpstr>
      <vt:lpstr>Edificio J.A.Flores</vt:lpstr>
      <vt:lpstr>Aislación Terraza</vt:lpstr>
      <vt:lpstr>aislaciónTerraza B</vt:lpstr>
      <vt:lpstr>DEPOSITO Gral</vt:lpstr>
      <vt:lpstr>RESUMEN</vt:lpstr>
      <vt:lpstr>'DEPOSITO Gral'!Área_de_impresión</vt:lpstr>
      <vt:lpstr>RESUMEN!Área_de_impresión</vt:lpstr>
      <vt:lpstr>'TECHO EX URGEN.'!Área_de_impresión</vt:lpstr>
      <vt:lpstr>'DEPOSITO Gral'!Títulos_a_imprimir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Gerencia Financiera</cp:lastModifiedBy>
  <cp:lastPrinted>2023-10-23T13:36:14Z</cp:lastPrinted>
  <dcterms:created xsi:type="dcterms:W3CDTF">2010-10-28T15:20:13Z</dcterms:created>
  <dcterms:modified xsi:type="dcterms:W3CDTF">2025-06-04T19:51:27Z</dcterms:modified>
</cp:coreProperties>
</file>